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comments1.xml" ContentType="application/vnd.openxmlformats-officedocument.spreadsheetml.comments+xml"/>
  <Override PartName="/xl/drawings/drawing2.xml" ContentType="application/vnd.openxmlformats-officedocument.drawing+xml"/>
  <Override PartName="/xl/activeX/activeX2.xml" ContentType="application/vnd.ms-office.activeX+xml"/>
  <Override PartName="/xl/activeX/activeX2.bin" ContentType="application/vnd.ms-office.activeX"/>
  <Override PartName="/xl/comments2.xml" ContentType="application/vnd.openxmlformats-officedocument.spreadsheetml.comments+xml"/>
  <Override PartName="/xl/drawings/drawing3.xml" ContentType="application/vnd.openxmlformats-officedocument.drawing+xml"/>
  <Override PartName="/xl/activeX/activeX3.xml" ContentType="application/vnd.ms-office.activeX+xml"/>
  <Override PartName="/xl/activeX/activeX3.bin" ContentType="application/vnd.ms-office.activeX"/>
  <Override PartName="/xl/comments3.xml" ContentType="application/vnd.openxmlformats-officedocument.spreadsheetml.comments+xml"/>
  <Override PartName="/xl/drawings/drawing4.xml" ContentType="application/vnd.openxmlformats-officedocument.drawing+xml"/>
  <Override PartName="/xl/activeX/activeX4.xml" ContentType="application/vnd.ms-office.activeX+xml"/>
  <Override PartName="/xl/activeX/activeX4.bin" ContentType="application/vnd.ms-office.activeX"/>
  <Override PartName="/xl/comments4.xml" ContentType="application/vnd.openxmlformats-officedocument.spreadsheetml.comments+xml"/>
  <Override PartName="/xl/drawings/drawing5.xml" ContentType="application/vnd.openxmlformats-officedocument.drawing+xml"/>
  <Override PartName="/xl/activeX/activeX5.xml" ContentType="application/vnd.ms-office.activeX+xml"/>
  <Override PartName="/xl/activeX/activeX5.bin" ContentType="application/vnd.ms-office.activeX"/>
  <Override PartName="/xl/comments5.xml" ContentType="application/vnd.openxmlformats-officedocument.spreadsheetml.comments+xml"/>
  <Override PartName="/xl/drawings/drawing6.xml" ContentType="application/vnd.openxmlformats-officedocument.drawing+xml"/>
  <Override PartName="/xl/activeX/activeX6.xml" ContentType="application/vnd.ms-office.activeX+xml"/>
  <Override PartName="/xl/activeX/activeX6.bin" ContentType="application/vnd.ms-office.activeX"/>
  <Override PartName="/xl/comments6.xml" ContentType="application/vnd.openxmlformats-officedocument.spreadsheetml.comments+xml"/>
  <Override PartName="/xl/drawings/drawing7.xml" ContentType="application/vnd.openxmlformats-officedocument.drawing+xml"/>
  <Override PartName="/xl/activeX/activeX7.xml" ContentType="application/vnd.ms-office.activeX+xml"/>
  <Override PartName="/xl/activeX/activeX7.bin" ContentType="application/vnd.ms-office.activeX"/>
  <Override PartName="/xl/comments7.xml" ContentType="application/vnd.openxmlformats-officedocument.spreadsheetml.comments+xml"/>
  <Override PartName="/xl/drawings/drawing8.xml" ContentType="application/vnd.openxmlformats-officedocument.drawing+xml"/>
  <Override PartName="/xl/activeX/activeX8.xml" ContentType="application/vnd.ms-office.activeX+xml"/>
  <Override PartName="/xl/activeX/activeX8.bin" ContentType="application/vnd.ms-office.activeX"/>
  <Override PartName="/xl/comments8.xml" ContentType="application/vnd.openxmlformats-officedocument.spreadsheetml.comments+xml"/>
  <Override PartName="/xl/drawings/drawing9.xml" ContentType="application/vnd.openxmlformats-officedocument.drawing+xml"/>
  <Override PartName="/xl/activeX/activeX9.xml" ContentType="application/vnd.ms-office.activeX+xml"/>
  <Override PartName="/xl/activeX/activeX9.bin" ContentType="application/vnd.ms-office.activeX"/>
  <Override PartName="/xl/comments9.xml" ContentType="application/vnd.openxmlformats-officedocument.spreadsheetml.comments+xml"/>
  <Override PartName="/xl/drawings/drawing10.xml" ContentType="application/vnd.openxmlformats-officedocument.drawing+xml"/>
  <Override PartName="/xl/activeX/activeX10.xml" ContentType="application/vnd.ms-office.activeX+xml"/>
  <Override PartName="/xl/activeX/activeX10.bin" ContentType="application/vnd.ms-office.activeX"/>
  <Override PartName="/xl/comments10.xml" ContentType="application/vnd.openxmlformats-officedocument.spreadsheetml.comments+xml"/>
  <Override PartName="/xl/drawings/drawing11.xml" ContentType="application/vnd.openxmlformats-officedocument.drawing+xml"/>
  <Override PartName="/xl/activeX/activeX11.xml" ContentType="application/vnd.ms-office.activeX+xml"/>
  <Override PartName="/xl/activeX/activeX11.bin" ContentType="application/vnd.ms-office.activeX"/>
  <Override PartName="/xl/comments1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docMetadata/LabelInfo.xml" ContentType="application/vnd.ms-office.classificationlabels+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codeName="{899C9086-67A9-5B14-2C2D-5A8001700F7D}"/>
  <workbookPr codeName="ThisWorkbook" defaultThemeVersion="124226"/>
  <mc:AlternateContent xmlns:mc="http://schemas.openxmlformats.org/markup-compatibility/2006">
    <mc:Choice Requires="x15">
      <x15ac:absPath xmlns:x15ac="http://schemas.microsoft.com/office/spreadsheetml/2010/11/ac" url="\\Lnv.intern\grp\rvo\RVO projecten\Project NTA8800\0401 deelproject methodiek\Koellastmethodiek\Rekentool bijlage AA\"/>
    </mc:Choice>
  </mc:AlternateContent>
  <xr:revisionPtr revIDLastSave="0" documentId="13_ncr:1_{221BF1D1-04CB-4DAE-B6B3-AAD1EF9EFFA1}" xr6:coauthVersionLast="47" xr6:coauthVersionMax="47" xr10:uidLastSave="{00000000-0000-0000-0000-000000000000}"/>
  <bookViews>
    <workbookView xWindow="-120" yWindow="-120" windowWidth="29040" windowHeight="15840" tabRatio="919" activeTab="2" xr2:uid="{00000000-000D-0000-FFFF-FFFF00000000}"/>
  </bookViews>
  <sheets>
    <sheet name="Software wijzigingen" sheetId="74" r:id="rId1"/>
    <sheet name="Toelichting" sheetId="64" r:id="rId2"/>
    <sheet name="Projectgegevens en Resultaten" sheetId="52" r:id="rId3"/>
    <sheet name="Ruimte 1" sheetId="56" r:id="rId4"/>
    <sheet name="Ruimte 2" sheetId="65" r:id="rId5"/>
    <sheet name="Ruimte 3" sheetId="66" r:id="rId6"/>
    <sheet name="Ruimte 4" sheetId="67" r:id="rId7"/>
    <sheet name="Ruimte 5" sheetId="68" r:id="rId8"/>
    <sheet name="Ruimte 6" sheetId="69" r:id="rId9"/>
    <sheet name="Ruimte 7" sheetId="70" r:id="rId10"/>
    <sheet name="Ruimte 8" sheetId="71" r:id="rId11"/>
    <sheet name="Ruimte 9" sheetId="72" r:id="rId12"/>
    <sheet name="Ruimte 10" sheetId="73" r:id="rId13"/>
    <sheet name="Tabellen" sheetId="55" state="hidden" r:id="rId14"/>
    <sheet name="Tabel AA" sheetId="75" state="hidden" r:id="rId15"/>
  </sheets>
  <functionGroups builtInGroupCount="19"/>
  <definedNames>
    <definedName name="_1pagina_1">#REF!</definedName>
    <definedName name="_8">#REF!</definedName>
    <definedName name="_xlnm._FilterDatabase" localSheetId="3" hidden="1">'Ruimte 1'!$A$22:$S$27</definedName>
    <definedName name="_xlnm._FilterDatabase" localSheetId="12" hidden="1">'Ruimte 10'!$A$22:$S$27</definedName>
    <definedName name="_xlnm._FilterDatabase" localSheetId="4" hidden="1">'Ruimte 2'!$A$22:$S$27</definedName>
    <definedName name="_xlnm._FilterDatabase" localSheetId="5" hidden="1">'Ruimte 3'!$A$22:$S$27</definedName>
    <definedName name="_xlnm._FilterDatabase" localSheetId="6" hidden="1">'Ruimte 4'!$A$22:$S$27</definedName>
    <definedName name="_xlnm._FilterDatabase" localSheetId="7" hidden="1">'Ruimte 5'!$A$22:$S$27</definedName>
    <definedName name="_xlnm._FilterDatabase" localSheetId="8" hidden="1">'Ruimte 6'!$A$22:$S$27</definedName>
    <definedName name="_xlnm._FilterDatabase" localSheetId="9" hidden="1">'Ruimte 7'!$A$22:$S$27</definedName>
    <definedName name="_xlnm._FilterDatabase" localSheetId="10" hidden="1">'Ruimte 8'!$A$22:$S$27</definedName>
    <definedName name="_xlnm._FilterDatabase" localSheetId="11" hidden="1">'Ruimte 9'!$A$22:$S$27</definedName>
    <definedName name="_Hlk510007024" localSheetId="14">'Tabel AA'!$A$84</definedName>
    <definedName name="_xlnm.Print_Area" localSheetId="2">'Projectgegevens en Resultaten'!$A$1:$U$69</definedName>
    <definedName name="_xlnm.Print_Area" localSheetId="3">'Ruimte 1'!$A$1:$U$65</definedName>
    <definedName name="_xlnm.Print_Area" localSheetId="12">'Ruimte 10'!$A$1:$U$65</definedName>
    <definedName name="_xlnm.Print_Area" localSheetId="4">'Ruimte 2'!$A$1:$U$65</definedName>
    <definedName name="_xlnm.Print_Area" localSheetId="5">'Ruimte 3'!$A$1:$U$65</definedName>
    <definedName name="_xlnm.Print_Area" localSheetId="6">'Ruimte 4'!$A$1:$U$65</definedName>
    <definedName name="_xlnm.Print_Area" localSheetId="7">'Ruimte 5'!$A$1:$U$65</definedName>
    <definedName name="_xlnm.Print_Area" localSheetId="8">'Ruimte 6'!$A$1:$U$65</definedName>
    <definedName name="_xlnm.Print_Area" localSheetId="9">'Ruimte 7'!$A$1:$U$65</definedName>
    <definedName name="_xlnm.Print_Area" localSheetId="10">'Ruimte 8'!$A$1:$U$65</definedName>
    <definedName name="_xlnm.Print_Area" localSheetId="11">'Ruimte 9'!$A$1:$U$65</definedName>
    <definedName name="AII">#REF!</definedName>
    <definedName name="AIII">#REF!</definedName>
    <definedName name="Apr">#REF!</definedName>
    <definedName name="dikte">#REF!</definedName>
    <definedName name="diktemax">#REF!</definedName>
    <definedName name="diktemax__m">#REF!</definedName>
    <definedName name="diktemin">#REF!</definedName>
    <definedName name="h">#REF!</definedName>
    <definedName name="labda">#REF!</definedName>
    <definedName name="Rc">#REF!</definedName>
    <definedName name="Rc_pl">#REF!</definedName>
    <definedName name="RI">#REF!</definedName>
    <definedName name="RII">#REF!</definedName>
    <definedName name="U">#REF!</definedName>
    <definedName name="UU">#REF!</definedName>
    <definedName name="Vloeroppervlak">'Projectgegevens en Resultaten'!#REF!</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8" i="56" l="1"/>
  <c r="J8" i="56"/>
  <c r="F8" i="56"/>
  <c r="R86" i="67" a="1"/>
  <c r="R86" i="67" s="1"/>
  <c r="R85" i="67" a="1"/>
  <c r="R85" i="67" s="1"/>
  <c r="R84" i="67" a="1"/>
  <c r="R84" i="67" s="1"/>
  <c r="R83" i="67" a="1"/>
  <c r="R83" i="67" s="1"/>
  <c r="R82" i="67" a="1"/>
  <c r="R82" i="67" s="1"/>
  <c r="R81" i="67" a="1"/>
  <c r="R81" i="67" s="1"/>
  <c r="R80" i="67" a="1"/>
  <c r="R80" i="67" s="1"/>
  <c r="R79" i="67" a="1"/>
  <c r="R79" i="67" s="1"/>
  <c r="R78" i="67" a="1"/>
  <c r="R78" i="67" s="1"/>
  <c r="R77" i="67" a="1"/>
  <c r="R77" i="67" s="1"/>
  <c r="R73" i="67" a="1"/>
  <c r="R73" i="67" s="1"/>
  <c r="N73" i="67" a="1"/>
  <c r="N73" i="67" s="1"/>
  <c r="J73" i="67" a="1"/>
  <c r="J73" i="67" s="1"/>
  <c r="F73" i="67" a="1"/>
  <c r="F73" i="67" s="1"/>
  <c r="B73" i="67" a="1"/>
  <c r="B73" i="67" s="1"/>
  <c r="D61" i="67"/>
  <c r="C61" i="67"/>
  <c r="B60" i="67"/>
  <c r="R57" i="67"/>
  <c r="N57" i="67"/>
  <c r="J57" i="67"/>
  <c r="F57" i="67"/>
  <c r="B57" i="67"/>
  <c r="R55" i="67"/>
  <c r="N55" i="67"/>
  <c r="J55" i="67"/>
  <c r="F55" i="67"/>
  <c r="B55" i="67"/>
  <c r="R45" i="67"/>
  <c r="N45" i="67"/>
  <c r="J45" i="67"/>
  <c r="F45" i="67"/>
  <c r="B45" i="67"/>
  <c r="R44" i="67"/>
  <c r="R47" i="67" s="1"/>
  <c r="N44" i="67"/>
  <c r="J44" i="67"/>
  <c r="F44" i="67"/>
  <c r="B44" i="67"/>
  <c r="R86" i="68" a="1"/>
  <c r="R86" i="68" s="1"/>
  <c r="R85" i="68" a="1"/>
  <c r="R85" i="68" s="1"/>
  <c r="R84" i="68" a="1"/>
  <c r="R84" i="68" s="1"/>
  <c r="R83" i="68" a="1"/>
  <c r="R83" i="68" s="1"/>
  <c r="R82" i="68" a="1"/>
  <c r="R82" i="68" s="1"/>
  <c r="R81" i="68" a="1"/>
  <c r="R81" i="68" s="1"/>
  <c r="R80" i="68" a="1"/>
  <c r="R80" i="68" s="1"/>
  <c r="R79" i="68" a="1"/>
  <c r="R79" i="68" s="1"/>
  <c r="R78" i="68" a="1"/>
  <c r="R78" i="68" s="1"/>
  <c r="R77" i="68" a="1"/>
  <c r="R77" i="68" s="1"/>
  <c r="R73" i="68" a="1"/>
  <c r="R73" i="68" s="1"/>
  <c r="N73" i="68" a="1"/>
  <c r="N73" i="68" s="1"/>
  <c r="J73" i="68" a="1"/>
  <c r="J73" i="68" s="1"/>
  <c r="F73" i="68" a="1"/>
  <c r="F73" i="68" s="1"/>
  <c r="B73" i="68" a="1"/>
  <c r="B73" i="68" s="1"/>
  <c r="D61" i="68"/>
  <c r="C61" i="68"/>
  <c r="B60" i="68"/>
  <c r="R57" i="68"/>
  <c r="N57" i="68"/>
  <c r="J57" i="68"/>
  <c r="F57" i="68"/>
  <c r="B57" i="68"/>
  <c r="R55" i="68"/>
  <c r="N55" i="68"/>
  <c r="J55" i="68"/>
  <c r="F55" i="68"/>
  <c r="B55" i="68"/>
  <c r="R45" i="68"/>
  <c r="N45" i="68"/>
  <c r="J45" i="68"/>
  <c r="F45" i="68"/>
  <c r="B45" i="68"/>
  <c r="R44" i="68"/>
  <c r="R47" i="68" s="1"/>
  <c r="N44" i="68"/>
  <c r="J44" i="68"/>
  <c r="F44" i="68"/>
  <c r="B44" i="68"/>
  <c r="R86" i="69" a="1"/>
  <c r="R86" i="69" s="1"/>
  <c r="R85" i="69" a="1"/>
  <c r="R85" i="69" s="1"/>
  <c r="R84" i="69" a="1"/>
  <c r="R84" i="69" s="1"/>
  <c r="R83" i="69" a="1"/>
  <c r="R83" i="69" s="1"/>
  <c r="R82" i="69" a="1"/>
  <c r="R82" i="69" s="1"/>
  <c r="R81" i="69" a="1"/>
  <c r="R81" i="69" s="1"/>
  <c r="R80" i="69" a="1"/>
  <c r="R80" i="69" s="1"/>
  <c r="R79" i="69" a="1"/>
  <c r="R79" i="69" s="1"/>
  <c r="R78" i="69" a="1"/>
  <c r="R78" i="69" s="1"/>
  <c r="R77" i="69" a="1"/>
  <c r="R77" i="69" s="1"/>
  <c r="R73" i="69" a="1"/>
  <c r="R73" i="69" s="1"/>
  <c r="N73" i="69" a="1"/>
  <c r="N73" i="69" s="1"/>
  <c r="D61" i="69"/>
  <c r="C61" i="69"/>
  <c r="B60" i="69"/>
  <c r="R57" i="69"/>
  <c r="N57" i="69"/>
  <c r="R55" i="69"/>
  <c r="N55" i="69"/>
  <c r="R45" i="69"/>
  <c r="N45" i="69"/>
  <c r="B45" i="69"/>
  <c r="R44" i="69"/>
  <c r="R47" i="69" s="1"/>
  <c r="N44" i="69"/>
  <c r="J44" i="69"/>
  <c r="F44" i="69"/>
  <c r="B44" i="69"/>
  <c r="R86" i="70" a="1"/>
  <c r="R86" i="70" s="1"/>
  <c r="R85" i="70" a="1"/>
  <c r="R85" i="70" s="1"/>
  <c r="R84" i="70" a="1"/>
  <c r="R84" i="70" s="1"/>
  <c r="R83" i="70" a="1"/>
  <c r="R83" i="70" s="1"/>
  <c r="R82" i="70" a="1"/>
  <c r="R82" i="70" s="1"/>
  <c r="R81" i="70" a="1"/>
  <c r="R81" i="70" s="1"/>
  <c r="R80" i="70" a="1"/>
  <c r="R80" i="70" s="1"/>
  <c r="R79" i="70" a="1"/>
  <c r="R79" i="70" s="1"/>
  <c r="R78" i="70" a="1"/>
  <c r="R78" i="70" s="1"/>
  <c r="R77" i="70" a="1"/>
  <c r="R77" i="70" s="1"/>
  <c r="R73" i="70" a="1"/>
  <c r="R73" i="70" s="1"/>
  <c r="N73" i="70" a="1"/>
  <c r="N73" i="70" s="1"/>
  <c r="J73" i="70" a="1"/>
  <c r="J73" i="70" s="1"/>
  <c r="F73" i="70" a="1"/>
  <c r="F73" i="70" s="1"/>
  <c r="B73" i="70" a="1"/>
  <c r="B73" i="70" s="1"/>
  <c r="D61" i="70"/>
  <c r="C61" i="70"/>
  <c r="B60" i="70"/>
  <c r="R57" i="70"/>
  <c r="N57" i="70"/>
  <c r="J57" i="70"/>
  <c r="F57" i="70"/>
  <c r="B57" i="70"/>
  <c r="R55" i="70"/>
  <c r="N55" i="70"/>
  <c r="J55" i="70"/>
  <c r="F55" i="70"/>
  <c r="B55" i="70"/>
  <c r="R45" i="70"/>
  <c r="N45" i="70"/>
  <c r="J45" i="70"/>
  <c r="F45" i="70"/>
  <c r="B45" i="70"/>
  <c r="R44" i="70"/>
  <c r="R47" i="70" s="1"/>
  <c r="N44" i="70"/>
  <c r="J44" i="70"/>
  <c r="F44" i="70"/>
  <c r="B44" i="70"/>
  <c r="R86" i="71" a="1"/>
  <c r="R86" i="71" s="1"/>
  <c r="R85" i="71" a="1"/>
  <c r="R85" i="71" s="1"/>
  <c r="R84" i="71" a="1"/>
  <c r="R84" i="71" s="1"/>
  <c r="R83" i="71" a="1"/>
  <c r="R83" i="71" s="1"/>
  <c r="R82" i="71" a="1"/>
  <c r="R82" i="71" s="1"/>
  <c r="R81" i="71" a="1"/>
  <c r="R81" i="71" s="1"/>
  <c r="R80" i="71" a="1"/>
  <c r="R80" i="71" s="1"/>
  <c r="R79" i="71" a="1"/>
  <c r="R79" i="71" s="1"/>
  <c r="R78" i="71" a="1"/>
  <c r="R78" i="71" s="1"/>
  <c r="R77" i="71" a="1"/>
  <c r="R77" i="71" s="1"/>
  <c r="R73" i="71" a="1"/>
  <c r="R73" i="71" s="1"/>
  <c r="N73" i="71" a="1"/>
  <c r="N73" i="71" s="1"/>
  <c r="J73" i="71" a="1"/>
  <c r="J73" i="71" s="1"/>
  <c r="F73" i="71" a="1"/>
  <c r="F73" i="71" s="1"/>
  <c r="B73" i="71" a="1"/>
  <c r="B73" i="71" s="1"/>
  <c r="D61" i="71"/>
  <c r="C61" i="71"/>
  <c r="B60" i="71"/>
  <c r="R57" i="71"/>
  <c r="N57" i="71"/>
  <c r="J57" i="71"/>
  <c r="F57" i="71"/>
  <c r="B57" i="71"/>
  <c r="R55" i="71"/>
  <c r="N55" i="71"/>
  <c r="J55" i="71"/>
  <c r="F55" i="71"/>
  <c r="B55" i="71"/>
  <c r="R45" i="71"/>
  <c r="N45" i="71"/>
  <c r="J45" i="71"/>
  <c r="F45" i="71"/>
  <c r="B45" i="71"/>
  <c r="R44" i="71"/>
  <c r="R47" i="71" s="1"/>
  <c r="N44" i="71"/>
  <c r="J44" i="71"/>
  <c r="F44" i="71"/>
  <c r="B44" i="71"/>
  <c r="R86" i="72" a="1"/>
  <c r="R86" i="72" s="1"/>
  <c r="R85" i="72" a="1"/>
  <c r="R85" i="72" s="1"/>
  <c r="R84" i="72" a="1"/>
  <c r="R84" i="72" s="1"/>
  <c r="R83" i="72" a="1"/>
  <c r="R83" i="72" s="1"/>
  <c r="R82" i="72" a="1"/>
  <c r="R82" i="72" s="1"/>
  <c r="R81" i="72" a="1"/>
  <c r="R81" i="72" s="1"/>
  <c r="R80" i="72" a="1"/>
  <c r="R80" i="72" s="1"/>
  <c r="R79" i="72" a="1"/>
  <c r="R79" i="72" s="1"/>
  <c r="R78" i="72" a="1"/>
  <c r="R78" i="72" s="1"/>
  <c r="R77" i="72" a="1"/>
  <c r="R77" i="72" s="1"/>
  <c r="R73" i="72" a="1"/>
  <c r="R73" i="72" s="1"/>
  <c r="N73" i="72" a="1"/>
  <c r="N73" i="72" s="1"/>
  <c r="J73" i="72" a="1"/>
  <c r="J73" i="72" s="1"/>
  <c r="F73" i="72" a="1"/>
  <c r="F73" i="72" s="1"/>
  <c r="B73" i="72" a="1"/>
  <c r="B73" i="72" s="1"/>
  <c r="D61" i="72"/>
  <c r="C61" i="72"/>
  <c r="B60" i="72"/>
  <c r="R57" i="72"/>
  <c r="N57" i="72"/>
  <c r="J57" i="72"/>
  <c r="F57" i="72"/>
  <c r="B57" i="72"/>
  <c r="R55" i="72"/>
  <c r="N55" i="72"/>
  <c r="J55" i="72"/>
  <c r="F55" i="72"/>
  <c r="B55" i="72"/>
  <c r="R45" i="72"/>
  <c r="N45" i="72"/>
  <c r="J45" i="72"/>
  <c r="F45" i="72"/>
  <c r="B45" i="72"/>
  <c r="R44" i="72"/>
  <c r="R47" i="72" s="1"/>
  <c r="N44" i="72"/>
  <c r="J44" i="72"/>
  <c r="F44" i="72"/>
  <c r="B44" i="72"/>
  <c r="R86" i="73" a="1"/>
  <c r="R86" i="73" s="1"/>
  <c r="R85" i="73" a="1"/>
  <c r="R85" i="73" s="1"/>
  <c r="R84" i="73" a="1"/>
  <c r="R84" i="73" s="1"/>
  <c r="R83" i="73" a="1"/>
  <c r="R83" i="73" s="1"/>
  <c r="R82" i="73" a="1"/>
  <c r="R82" i="73" s="1"/>
  <c r="R81" i="73" a="1"/>
  <c r="R81" i="73" s="1"/>
  <c r="R80" i="73" a="1"/>
  <c r="R80" i="73" s="1"/>
  <c r="R79" i="73" a="1"/>
  <c r="R79" i="73" s="1"/>
  <c r="R78" i="73" a="1"/>
  <c r="R78" i="73" s="1"/>
  <c r="R77" i="73" a="1"/>
  <c r="R77" i="73" s="1"/>
  <c r="R73" i="73" a="1"/>
  <c r="R73" i="73" s="1"/>
  <c r="N73" i="73" a="1"/>
  <c r="N73" i="73" s="1"/>
  <c r="J73" i="73" a="1"/>
  <c r="J73" i="73" s="1"/>
  <c r="F73" i="73" a="1"/>
  <c r="F73" i="73" s="1"/>
  <c r="B73" i="73" a="1"/>
  <c r="B73" i="73" s="1"/>
  <c r="D61" i="73"/>
  <c r="C61" i="73"/>
  <c r="B60" i="73"/>
  <c r="R57" i="73"/>
  <c r="N57" i="73"/>
  <c r="J57" i="73"/>
  <c r="F57" i="73"/>
  <c r="B57" i="73"/>
  <c r="R55" i="73"/>
  <c r="N55" i="73"/>
  <c r="J55" i="73"/>
  <c r="F55" i="73"/>
  <c r="B55" i="73"/>
  <c r="R45" i="73"/>
  <c r="N45" i="73"/>
  <c r="J45" i="73"/>
  <c r="F45" i="73"/>
  <c r="B45" i="73"/>
  <c r="R44" i="73"/>
  <c r="R47" i="73" s="1"/>
  <c r="N44" i="73"/>
  <c r="J44" i="73"/>
  <c r="F44" i="73"/>
  <c r="B44" i="73"/>
  <c r="R86" i="66" a="1"/>
  <c r="R86" i="66" s="1"/>
  <c r="R85" i="66" a="1"/>
  <c r="R85" i="66" s="1"/>
  <c r="R84" i="66" a="1"/>
  <c r="R84" i="66" s="1"/>
  <c r="R83" i="66" a="1"/>
  <c r="R83" i="66" s="1"/>
  <c r="R82" i="66" a="1"/>
  <c r="R82" i="66" s="1"/>
  <c r="R81" i="66" a="1"/>
  <c r="R81" i="66" s="1"/>
  <c r="R80" i="66" a="1"/>
  <c r="R80" i="66" s="1"/>
  <c r="R79" i="66" a="1"/>
  <c r="R79" i="66" s="1"/>
  <c r="R78" i="66" a="1"/>
  <c r="R78" i="66" s="1"/>
  <c r="R77" i="66" a="1"/>
  <c r="R77" i="66" s="1"/>
  <c r="R73" i="66" a="1"/>
  <c r="R73" i="66" s="1"/>
  <c r="N73" i="66" a="1"/>
  <c r="N73" i="66" s="1"/>
  <c r="J73" i="66" a="1"/>
  <c r="J73" i="66" s="1"/>
  <c r="F73" i="66" a="1"/>
  <c r="F73" i="66" s="1"/>
  <c r="B73" i="66" a="1"/>
  <c r="B73" i="66" s="1"/>
  <c r="D61" i="66"/>
  <c r="C61" i="66"/>
  <c r="B60" i="66"/>
  <c r="R57" i="66"/>
  <c r="N57" i="66"/>
  <c r="J57" i="66"/>
  <c r="F57" i="66"/>
  <c r="B57" i="66"/>
  <c r="R55" i="66"/>
  <c r="N55" i="66"/>
  <c r="J55" i="66"/>
  <c r="F55" i="66"/>
  <c r="B55" i="66"/>
  <c r="R45" i="66"/>
  <c r="N45" i="66"/>
  <c r="J45" i="66"/>
  <c r="F45" i="66"/>
  <c r="B45" i="66"/>
  <c r="R44" i="66"/>
  <c r="R47" i="66" s="1"/>
  <c r="N44" i="66"/>
  <c r="J44" i="66"/>
  <c r="F44" i="66"/>
  <c r="B44" i="66"/>
  <c r="R86" i="65" a="1"/>
  <c r="R86" i="65" s="1"/>
  <c r="R85" i="65" a="1"/>
  <c r="R85" i="65" s="1"/>
  <c r="R84" i="65" a="1"/>
  <c r="R84" i="65" s="1"/>
  <c r="R83" i="65" a="1"/>
  <c r="R83" i="65" s="1"/>
  <c r="R82" i="65" a="1"/>
  <c r="R82" i="65" s="1"/>
  <c r="R81" i="65" a="1"/>
  <c r="R81" i="65" s="1"/>
  <c r="R80" i="65" a="1"/>
  <c r="R80" i="65" s="1"/>
  <c r="R79" i="65" a="1"/>
  <c r="R79" i="65" s="1"/>
  <c r="R78" i="65" a="1"/>
  <c r="R78" i="65" s="1"/>
  <c r="R77" i="65" a="1"/>
  <c r="R77" i="65" s="1"/>
  <c r="R73" i="65" a="1"/>
  <c r="R73" i="65" s="1"/>
  <c r="N73" i="65" a="1"/>
  <c r="N73" i="65" s="1"/>
  <c r="J73" i="65" a="1"/>
  <c r="J73" i="65" s="1"/>
  <c r="D61" i="65"/>
  <c r="C61" i="65"/>
  <c r="B60" i="65"/>
  <c r="R57" i="65"/>
  <c r="N57" i="65"/>
  <c r="J57" i="65"/>
  <c r="R55" i="65"/>
  <c r="N55" i="65"/>
  <c r="J55" i="65"/>
  <c r="R45" i="65"/>
  <c r="N45" i="65"/>
  <c r="J45" i="65"/>
  <c r="B45" i="65"/>
  <c r="R44" i="65"/>
  <c r="R47" i="65" s="1"/>
  <c r="N44" i="65"/>
  <c r="J44" i="65"/>
  <c r="F44" i="65"/>
  <c r="B44" i="65"/>
  <c r="F73" i="69" a="1"/>
  <c r="J73" i="69" a="1"/>
  <c r="B73" i="69" a="1"/>
  <c r="R41" i="69" a="1"/>
  <c r="R74" i="70" a="1"/>
  <c r="R42" i="69" a="1"/>
  <c r="R41" i="70" a="1"/>
  <c r="R74" i="67" a="1"/>
  <c r="R74" i="71" a="1"/>
  <c r="R42" i="70" a="1"/>
  <c r="R41" i="67" a="1"/>
  <c r="R41" i="71" a="1"/>
  <c r="R74" i="68" a="1"/>
  <c r="R74" i="72" a="1"/>
  <c r="R42" i="67" a="1"/>
  <c r="R42" i="71" a="1"/>
  <c r="R41" i="68" a="1"/>
  <c r="R41" i="72" a="1"/>
  <c r="R42" i="72" a="1"/>
  <c r="R74" i="73" a="1"/>
  <c r="R74" i="69" a="1"/>
  <c r="R41" i="73" a="1"/>
  <c r="R74" i="66" a="1"/>
  <c r="R42" i="73" a="1"/>
  <c r="R42" i="68" a="1"/>
  <c r="R41" i="66" a="1"/>
  <c r="R42" i="66" a="1"/>
  <c r="R74" i="65" a="1"/>
  <c r="R41" i="65" a="1"/>
  <c r="B73" i="65" a="1"/>
  <c r="F73" i="65" a="1"/>
  <c r="R42" i="65" a="1"/>
  <c r="R42" i="56" a="1"/>
  <c r="R41" i="56" a="1"/>
  <c r="R78" i="56" a="1"/>
  <c r="R73" i="56" a="1"/>
  <c r="R84" i="56" a="1"/>
  <c r="R79" i="56" a="1"/>
  <c r="R80" i="56" a="1"/>
  <c r="R85" i="56" a="1"/>
  <c r="R81" i="56" a="1"/>
  <c r="R77" i="56" a="1"/>
  <c r="R86" i="56" a="1"/>
  <c r="R82" i="56" a="1"/>
  <c r="R83" i="56" a="1"/>
  <c r="N73" i="56" a="1"/>
  <c r="F73" i="56" a="1"/>
  <c r="J46" i="66" l="1"/>
  <c r="F46" i="66"/>
  <c r="N46" i="66"/>
  <c r="F46" i="68"/>
  <c r="B46" i="68"/>
  <c r="R46" i="68"/>
  <c r="N46" i="73"/>
  <c r="R46" i="72"/>
  <c r="F46" i="72"/>
  <c r="N46" i="71"/>
  <c r="F45" i="69"/>
  <c r="F73" i="69"/>
  <c r="J45" i="69"/>
  <c r="J73" i="69"/>
  <c r="B73" i="69"/>
  <c r="R46" i="73"/>
  <c r="B46" i="70"/>
  <c r="J46" i="72"/>
  <c r="B46" i="66"/>
  <c r="N46" i="72"/>
  <c r="B46" i="72"/>
  <c r="B46" i="73"/>
  <c r="J46" i="73"/>
  <c r="F45" i="65"/>
  <c r="F46" i="65" s="1"/>
  <c r="R42" i="66"/>
  <c r="R41" i="66"/>
  <c r="R42" i="68"/>
  <c r="R42" i="73"/>
  <c r="R74" i="66"/>
  <c r="R41" i="73"/>
  <c r="R74" i="69"/>
  <c r="R74" i="73"/>
  <c r="R42" i="72"/>
  <c r="R41" i="72"/>
  <c r="R41" i="68"/>
  <c r="R42" i="71"/>
  <c r="R42" i="67"/>
  <c r="R74" i="72"/>
  <c r="R74" i="68"/>
  <c r="R41" i="71"/>
  <c r="R41" i="67"/>
  <c r="R42" i="70"/>
  <c r="R74" i="71"/>
  <c r="R74" i="67"/>
  <c r="R41" i="70"/>
  <c r="R42" i="69"/>
  <c r="R74" i="70"/>
  <c r="R41" i="69"/>
  <c r="F46" i="71"/>
  <c r="J46" i="71"/>
  <c r="R46" i="71"/>
  <c r="F46" i="70"/>
  <c r="R46" i="66"/>
  <c r="F46" i="73"/>
  <c r="J46" i="70"/>
  <c r="N46" i="70"/>
  <c r="R46" i="70"/>
  <c r="F46" i="67"/>
  <c r="J46" i="67"/>
  <c r="B46" i="67"/>
  <c r="N46" i="67"/>
  <c r="B46" i="71"/>
  <c r="R46" i="67"/>
  <c r="J46" i="68"/>
  <c r="N46" i="68"/>
  <c r="R42" i="65"/>
  <c r="F73" i="65"/>
  <c r="B73" i="65"/>
  <c r="R41" i="65"/>
  <c r="R74" i="65"/>
  <c r="R42" i="56"/>
  <c r="R41" i="56"/>
  <c r="R83" i="56"/>
  <c r="R82" i="56"/>
  <c r="R86" i="56"/>
  <c r="R81" i="56"/>
  <c r="R85" i="56"/>
  <c r="R80" i="56"/>
  <c r="R79" i="56"/>
  <c r="R84" i="56"/>
  <c r="R73" i="56"/>
  <c r="R78" i="56"/>
  <c r="N73" i="56"/>
  <c r="F73" i="56"/>
  <c r="R77" i="56"/>
  <c r="L38" i="52"/>
  <c r="R15" i="67"/>
  <c r="R49" i="67" s="1"/>
  <c r="N15" i="67"/>
  <c r="N49" i="67" s="1"/>
  <c r="J15" i="67"/>
  <c r="J49" i="67" s="1"/>
  <c r="F15" i="67"/>
  <c r="F49" i="67" s="1"/>
  <c r="B15" i="67"/>
  <c r="B49" i="67" s="1"/>
  <c r="R15" i="68"/>
  <c r="R49" i="68" s="1"/>
  <c r="N15" i="68"/>
  <c r="N49" i="68" s="1"/>
  <c r="J15" i="68"/>
  <c r="J49" i="68" s="1"/>
  <c r="F15" i="68"/>
  <c r="F49" i="68" s="1"/>
  <c r="B15" i="68"/>
  <c r="B49" i="68" s="1"/>
  <c r="R15" i="69"/>
  <c r="R49" i="69" s="1"/>
  <c r="N15" i="69"/>
  <c r="N49" i="69" s="1"/>
  <c r="J15" i="69"/>
  <c r="J49" i="69" s="1"/>
  <c r="F15" i="69"/>
  <c r="F49" i="69" s="1"/>
  <c r="B15" i="69"/>
  <c r="B49" i="69" s="1"/>
  <c r="R15" i="70"/>
  <c r="R49" i="70" s="1"/>
  <c r="N15" i="70"/>
  <c r="N49" i="70" s="1"/>
  <c r="J15" i="70"/>
  <c r="J49" i="70" s="1"/>
  <c r="F15" i="70"/>
  <c r="F49" i="70" s="1"/>
  <c r="B15" i="70"/>
  <c r="B49" i="70" s="1"/>
  <c r="R15" i="71"/>
  <c r="R49" i="71" s="1"/>
  <c r="N15" i="71"/>
  <c r="N49" i="71" s="1"/>
  <c r="J15" i="71"/>
  <c r="J49" i="71" s="1"/>
  <c r="F15" i="71"/>
  <c r="F49" i="71" s="1"/>
  <c r="B15" i="71"/>
  <c r="B49" i="71" s="1"/>
  <c r="R15" i="72"/>
  <c r="R49" i="72" s="1"/>
  <c r="N15" i="72"/>
  <c r="N49" i="72" s="1"/>
  <c r="J15" i="72"/>
  <c r="J49" i="72" s="1"/>
  <c r="F15" i="72"/>
  <c r="F49" i="72" s="1"/>
  <c r="B15" i="72"/>
  <c r="B49" i="72" s="1"/>
  <c r="R15" i="73"/>
  <c r="R49" i="73" s="1"/>
  <c r="N15" i="73"/>
  <c r="N49" i="73" s="1"/>
  <c r="J15" i="73"/>
  <c r="J49" i="73" s="1"/>
  <c r="F15" i="73"/>
  <c r="F49" i="73" s="1"/>
  <c r="B15" i="73"/>
  <c r="B49" i="73" s="1"/>
  <c r="R15" i="66"/>
  <c r="R49" i="66" s="1"/>
  <c r="N15" i="66"/>
  <c r="N49" i="66" s="1"/>
  <c r="J15" i="66"/>
  <c r="J49" i="66" s="1"/>
  <c r="F15" i="66"/>
  <c r="F49" i="66" s="1"/>
  <c r="B15" i="66"/>
  <c r="B49" i="66" s="1"/>
  <c r="B50" i="66" s="1"/>
  <c r="R15" i="65"/>
  <c r="R49" i="65" s="1"/>
  <c r="N15" i="65"/>
  <c r="N49" i="65" s="1"/>
  <c r="J15" i="65"/>
  <c r="J49" i="65" s="1"/>
  <c r="F15" i="65"/>
  <c r="F49" i="65" s="1"/>
  <c r="B15" i="65"/>
  <c r="B49" i="65" s="1"/>
  <c r="R15" i="56"/>
  <c r="N15" i="56"/>
  <c r="J15" i="56"/>
  <c r="F15" i="56"/>
  <c r="B15" i="56"/>
  <c r="B50" i="70" l="1"/>
  <c r="R46" i="69"/>
  <c r="B46" i="69"/>
  <c r="J50" i="66"/>
  <c r="F50" i="66"/>
  <c r="N50" i="66"/>
  <c r="R50" i="66"/>
  <c r="B50" i="67"/>
  <c r="R50" i="67"/>
  <c r="F50" i="67"/>
  <c r="N50" i="67"/>
  <c r="J50" i="67"/>
  <c r="B50" i="68"/>
  <c r="N50" i="68"/>
  <c r="R50" i="68"/>
  <c r="J50" i="68"/>
  <c r="F50" i="68"/>
  <c r="B50" i="73"/>
  <c r="F50" i="73"/>
  <c r="R50" i="73"/>
  <c r="N50" i="73"/>
  <c r="J50" i="73"/>
  <c r="J50" i="72"/>
  <c r="F50" i="72"/>
  <c r="R50" i="72"/>
  <c r="N50" i="72"/>
  <c r="B50" i="72"/>
  <c r="R50" i="71"/>
  <c r="J50" i="71"/>
  <c r="F50" i="71"/>
  <c r="B50" i="71"/>
  <c r="N50" i="71"/>
  <c r="F50" i="70"/>
  <c r="N50" i="70"/>
  <c r="R50" i="70"/>
  <c r="J50" i="70"/>
  <c r="F46" i="69"/>
  <c r="N46" i="69"/>
  <c r="J46" i="69"/>
  <c r="N50" i="69"/>
  <c r="F50" i="69"/>
  <c r="J50" i="69"/>
  <c r="B50" i="69"/>
  <c r="R50" i="69"/>
  <c r="B46" i="65"/>
  <c r="R50" i="65"/>
  <c r="J50" i="65"/>
  <c r="B50" i="65"/>
  <c r="N46" i="65"/>
  <c r="R46" i="65"/>
  <c r="J46" i="65"/>
  <c r="F50" i="65"/>
  <c r="N50" i="65"/>
  <c r="B16" i="56"/>
  <c r="D61" i="56"/>
  <c r="C61" i="56"/>
  <c r="P33" i="73"/>
  <c r="N33" i="73"/>
  <c r="L33" i="73"/>
  <c r="J33" i="73"/>
  <c r="H33" i="73"/>
  <c r="F33" i="73"/>
  <c r="D33" i="73"/>
  <c r="B33" i="73"/>
  <c r="P27" i="73"/>
  <c r="N27" i="73"/>
  <c r="L27" i="73"/>
  <c r="J27" i="73"/>
  <c r="H27" i="73"/>
  <c r="F27" i="73"/>
  <c r="D27" i="73"/>
  <c r="B27" i="73"/>
  <c r="P26" i="73"/>
  <c r="N26" i="73"/>
  <c r="L26" i="73"/>
  <c r="J26" i="73"/>
  <c r="H26" i="73"/>
  <c r="F26" i="73"/>
  <c r="D26" i="73"/>
  <c r="B26" i="73"/>
  <c r="R16" i="73"/>
  <c r="B8" i="73"/>
  <c r="P33" i="72"/>
  <c r="N33" i="72"/>
  <c r="L33" i="72"/>
  <c r="J33" i="72"/>
  <c r="H33" i="72"/>
  <c r="F33" i="72"/>
  <c r="D33" i="72"/>
  <c r="B33" i="72"/>
  <c r="P27" i="72"/>
  <c r="N27" i="72"/>
  <c r="L27" i="72"/>
  <c r="J27" i="72"/>
  <c r="H27" i="72"/>
  <c r="F27" i="72"/>
  <c r="D27" i="72"/>
  <c r="B27" i="72"/>
  <c r="P26" i="72"/>
  <c r="N26" i="72"/>
  <c r="L26" i="72"/>
  <c r="J26" i="72"/>
  <c r="H26" i="72"/>
  <c r="F26" i="72"/>
  <c r="D26" i="72"/>
  <c r="B26" i="72"/>
  <c r="R16" i="72"/>
  <c r="B8" i="72"/>
  <c r="P33" i="71"/>
  <c r="N33" i="71"/>
  <c r="L33" i="71"/>
  <c r="J33" i="71"/>
  <c r="H33" i="71"/>
  <c r="F33" i="71"/>
  <c r="D33" i="71"/>
  <c r="B33" i="71"/>
  <c r="P27" i="71"/>
  <c r="N27" i="71"/>
  <c r="L27" i="71"/>
  <c r="J27" i="71"/>
  <c r="H27" i="71"/>
  <c r="F27" i="71"/>
  <c r="D27" i="71"/>
  <c r="B27" i="71"/>
  <c r="P26" i="71"/>
  <c r="N26" i="71"/>
  <c r="L26" i="71"/>
  <c r="J26" i="71"/>
  <c r="H26" i="71"/>
  <c r="F26" i="71"/>
  <c r="D26" i="71"/>
  <c r="B26" i="71"/>
  <c r="R16" i="71"/>
  <c r="B8" i="71"/>
  <c r="P33" i="70"/>
  <c r="N33" i="70"/>
  <c r="L33" i="70"/>
  <c r="J33" i="70"/>
  <c r="H33" i="70"/>
  <c r="F33" i="70"/>
  <c r="D33" i="70"/>
  <c r="B33" i="70"/>
  <c r="P27" i="70"/>
  <c r="N27" i="70"/>
  <c r="L27" i="70"/>
  <c r="J27" i="70"/>
  <c r="H27" i="70"/>
  <c r="F27" i="70"/>
  <c r="D27" i="70"/>
  <c r="B27" i="70"/>
  <c r="P26" i="70"/>
  <c r="N26" i="70"/>
  <c r="L26" i="70"/>
  <c r="J26" i="70"/>
  <c r="H26" i="70"/>
  <c r="F26" i="70"/>
  <c r="D26" i="70"/>
  <c r="B26" i="70"/>
  <c r="R16" i="70"/>
  <c r="B8" i="70"/>
  <c r="P33" i="69"/>
  <c r="N33" i="69"/>
  <c r="L33" i="69"/>
  <c r="J33" i="69"/>
  <c r="H33" i="69"/>
  <c r="F33" i="69"/>
  <c r="D33" i="69"/>
  <c r="B33" i="69"/>
  <c r="P27" i="69"/>
  <c r="N27" i="69"/>
  <c r="L27" i="69"/>
  <c r="J27" i="69"/>
  <c r="H27" i="69"/>
  <c r="F27" i="69"/>
  <c r="D27" i="69"/>
  <c r="B27" i="69"/>
  <c r="P26" i="69"/>
  <c r="N26" i="69"/>
  <c r="L26" i="69"/>
  <c r="J26" i="69"/>
  <c r="H26" i="69"/>
  <c r="F26" i="69"/>
  <c r="D26" i="69"/>
  <c r="B26" i="69"/>
  <c r="R16" i="69"/>
  <c r="B8" i="69"/>
  <c r="P33" i="68"/>
  <c r="N33" i="68"/>
  <c r="L33" i="68"/>
  <c r="J33" i="68"/>
  <c r="H33" i="68"/>
  <c r="F33" i="68"/>
  <c r="D33" i="68"/>
  <c r="B33" i="68"/>
  <c r="P27" i="68"/>
  <c r="N27" i="68"/>
  <c r="L27" i="68"/>
  <c r="J27" i="68"/>
  <c r="H27" i="68"/>
  <c r="F27" i="68"/>
  <c r="D27" i="68"/>
  <c r="B27" i="68"/>
  <c r="P26" i="68"/>
  <c r="N26" i="68"/>
  <c r="L26" i="68"/>
  <c r="J26" i="68"/>
  <c r="H26" i="68"/>
  <c r="F26" i="68"/>
  <c r="D26" i="68"/>
  <c r="B26" i="68"/>
  <c r="R16" i="68"/>
  <c r="B16" i="68"/>
  <c r="B8" i="68"/>
  <c r="P33" i="67"/>
  <c r="N33" i="67"/>
  <c r="L33" i="67"/>
  <c r="J33" i="67"/>
  <c r="H33" i="67"/>
  <c r="F33" i="67"/>
  <c r="D33" i="67"/>
  <c r="B33" i="67"/>
  <c r="P27" i="67"/>
  <c r="N27" i="67"/>
  <c r="L27" i="67"/>
  <c r="J27" i="67"/>
  <c r="H27" i="67"/>
  <c r="F27" i="67"/>
  <c r="D27" i="67"/>
  <c r="B27" i="67"/>
  <c r="P26" i="67"/>
  <c r="N26" i="67"/>
  <c r="L26" i="67"/>
  <c r="J26" i="67"/>
  <c r="H26" i="67"/>
  <c r="F26" i="67"/>
  <c r="D26" i="67"/>
  <c r="B26" i="67"/>
  <c r="R16" i="67"/>
  <c r="B8" i="67"/>
  <c r="P33" i="66"/>
  <c r="N33" i="66"/>
  <c r="L33" i="66"/>
  <c r="J33" i="66"/>
  <c r="H33" i="66"/>
  <c r="F33" i="66"/>
  <c r="D33" i="66"/>
  <c r="B33" i="66"/>
  <c r="P27" i="66"/>
  <c r="N27" i="66"/>
  <c r="L27" i="66"/>
  <c r="J27" i="66"/>
  <c r="H27" i="66"/>
  <c r="F27" i="66"/>
  <c r="D27" i="66"/>
  <c r="B27" i="66"/>
  <c r="P26" i="66"/>
  <c r="N26" i="66"/>
  <c r="L26" i="66"/>
  <c r="J26" i="66"/>
  <c r="H26" i="66"/>
  <c r="F26" i="66"/>
  <c r="D26" i="66"/>
  <c r="B26" i="66"/>
  <c r="R16" i="66"/>
  <c r="B8" i="66"/>
  <c r="P33" i="65"/>
  <c r="N33" i="65"/>
  <c r="L33" i="65"/>
  <c r="J33" i="65"/>
  <c r="H33" i="65"/>
  <c r="F33" i="65"/>
  <c r="D33" i="65"/>
  <c r="B33" i="65"/>
  <c r="P27" i="65"/>
  <c r="N27" i="65"/>
  <c r="L27" i="65"/>
  <c r="J27" i="65"/>
  <c r="H27" i="65"/>
  <c r="F27" i="65"/>
  <c r="D27" i="65"/>
  <c r="B27" i="65"/>
  <c r="P26" i="65"/>
  <c r="N26" i="65"/>
  <c r="L26" i="65"/>
  <c r="J26" i="65"/>
  <c r="H26" i="65"/>
  <c r="F26" i="65"/>
  <c r="D26" i="65"/>
  <c r="B26" i="65"/>
  <c r="R16" i="65"/>
  <c r="B8" i="65"/>
  <c r="B33" i="56"/>
  <c r="B42" i="66" a="1"/>
  <c r="B41" i="66" a="1"/>
  <c r="B74" i="66" a="1"/>
  <c r="B9" i="65" a="1"/>
  <c r="B42" i="72" a="1"/>
  <c r="B41" i="72" a="1"/>
  <c r="B74" i="72" a="1"/>
  <c r="B42" i="71" a="1"/>
  <c r="B41" i="71" a="1"/>
  <c r="B74" i="71" a="1"/>
  <c r="B9" i="67" a="1"/>
  <c r="B9" i="68" a="1"/>
  <c r="B42" i="65" a="1"/>
  <c r="B41" i="65" a="1"/>
  <c r="B74" i="65" a="1"/>
  <c r="B41" i="70" a="1"/>
  <c r="B74" i="70" a="1"/>
  <c r="B42" i="70" a="1"/>
  <c r="B74" i="73" a="1"/>
  <c r="B42" i="73" a="1"/>
  <c r="B41" i="73" a="1"/>
  <c r="B9" i="73" a="1"/>
  <c r="B42" i="69" a="1"/>
  <c r="B41" i="69" a="1"/>
  <c r="B74" i="69" a="1"/>
  <c r="B9" i="71" a="1"/>
  <c r="B9" i="72" a="1"/>
  <c r="B9" i="70" a="1"/>
  <c r="B9" i="69" a="1"/>
  <c r="B42" i="68" a="1"/>
  <c r="B41" i="68" a="1"/>
  <c r="B74" i="68" a="1"/>
  <c r="B42" i="67" a="1"/>
  <c r="B41" i="67" a="1"/>
  <c r="B74" i="67" a="1"/>
  <c r="B9" i="66" a="1"/>
  <c r="R38" i="66" a="1"/>
  <c r="T38" i="66" a="1"/>
  <c r="R35" i="66" a="1"/>
  <c r="T35" i="66" a="1"/>
  <c r="R12" i="66" a="1"/>
  <c r="N12" i="66" a="1"/>
  <c r="J12" i="66" a="1"/>
  <c r="F12" i="66" a="1"/>
  <c r="B38" i="66" a="1"/>
  <c r="B35" i="66" a="1"/>
  <c r="D38" i="66" a="1"/>
  <c r="D35" i="66" a="1"/>
  <c r="B12" i="66" a="1"/>
  <c r="T35" i="67" a="1"/>
  <c r="R38" i="67" a="1"/>
  <c r="R35" i="67" a="1"/>
  <c r="T38" i="67" a="1"/>
  <c r="R12" i="67" a="1"/>
  <c r="N12" i="67" a="1"/>
  <c r="J12" i="67" a="1"/>
  <c r="F12" i="67" a="1"/>
  <c r="B38" i="67" a="1"/>
  <c r="B35" i="67" a="1"/>
  <c r="D38" i="67" a="1"/>
  <c r="D35" i="67" a="1"/>
  <c r="B12" i="67" a="1"/>
  <c r="R35" i="68" a="1"/>
  <c r="R38" i="68" a="1"/>
  <c r="T35" i="68" a="1"/>
  <c r="T38" i="68" a="1"/>
  <c r="R12" i="68" a="1"/>
  <c r="N12" i="68" a="1"/>
  <c r="J12" i="68" a="1"/>
  <c r="F12" i="68" a="1"/>
  <c r="D35" i="68" a="1"/>
  <c r="B38" i="68" a="1"/>
  <c r="B35" i="68" a="1"/>
  <c r="D38" i="68" a="1"/>
  <c r="B12" i="68" a="1"/>
  <c r="T38" i="73" a="1"/>
  <c r="R35" i="73" a="1"/>
  <c r="T35" i="73" a="1"/>
  <c r="R38" i="73" a="1"/>
  <c r="R12" i="73" a="1"/>
  <c r="N12" i="73" a="1"/>
  <c r="J12" i="73" a="1"/>
  <c r="F12" i="73" a="1"/>
  <c r="D38" i="73" a="1"/>
  <c r="B38" i="73" a="1"/>
  <c r="B35" i="73" a="1"/>
  <c r="D35" i="73" a="1"/>
  <c r="B12" i="73" a="1"/>
  <c r="R38" i="72" a="1"/>
  <c r="R35" i="72" a="1"/>
  <c r="T35" i="72" a="1"/>
  <c r="T38" i="72" a="1"/>
  <c r="R12" i="72" a="1"/>
  <c r="N12" i="72" a="1"/>
  <c r="J12" i="72" a="1"/>
  <c r="F12" i="72" a="1"/>
  <c r="D38" i="72" a="1"/>
  <c r="B38" i="72" a="1"/>
  <c r="B35" i="72" a="1"/>
  <c r="D35" i="72" a="1"/>
  <c r="B12" i="72" a="1"/>
  <c r="R38" i="71" a="1"/>
  <c r="T35" i="71" a="1"/>
  <c r="R35" i="71" a="1"/>
  <c r="T38" i="71" a="1"/>
  <c r="R12" i="71" a="1"/>
  <c r="N12" i="71" a="1"/>
  <c r="J12" i="71" a="1"/>
  <c r="F12" i="71" a="1"/>
  <c r="B38" i="71" a="1"/>
  <c r="D38" i="71" a="1"/>
  <c r="D35" i="71" a="1"/>
  <c r="B35" i="71" a="1"/>
  <c r="B12" i="71" a="1"/>
  <c r="T38" i="70" a="1"/>
  <c r="R35" i="70" a="1"/>
  <c r="T35" i="70" a="1"/>
  <c r="R38" i="70" a="1"/>
  <c r="R12" i="70" a="1"/>
  <c r="N12" i="70" a="1"/>
  <c r="J12" i="70" a="1"/>
  <c r="F12" i="70" a="1"/>
  <c r="B38" i="70" a="1"/>
  <c r="D38" i="70" a="1"/>
  <c r="B35" i="70" a="1"/>
  <c r="D35" i="70" a="1"/>
  <c r="B12" i="70" a="1"/>
  <c r="R35" i="69" a="1"/>
  <c r="T38" i="69" a="1"/>
  <c r="T35" i="69" a="1"/>
  <c r="R38" i="69" a="1"/>
  <c r="R12" i="69" a="1"/>
  <c r="N12" i="69" a="1"/>
  <c r="F12" i="69" a="1"/>
  <c r="D35" i="69" a="1"/>
  <c r="B38" i="69" a="1"/>
  <c r="D38" i="69" a="1"/>
  <c r="B35" i="69" a="1"/>
  <c r="J12" i="69" a="1"/>
  <c r="B12" i="69" a="1"/>
  <c r="T35" i="65" a="1"/>
  <c r="R38" i="65" a="1"/>
  <c r="T38" i="65" a="1"/>
  <c r="R35" i="65" a="1"/>
  <c r="R12" i="65" a="1"/>
  <c r="N12" i="65" a="1"/>
  <c r="J12" i="65" a="1"/>
  <c r="F12" i="65" a="1"/>
  <c r="D38" i="65" a="1"/>
  <c r="B35" i="65" a="1"/>
  <c r="B38" i="65" a="1"/>
  <c r="D35" i="65" a="1"/>
  <c r="B12" i="65" a="1"/>
  <c r="R74" i="56" a="1"/>
  <c r="B74" i="67" l="1"/>
  <c r="B41" i="67"/>
  <c r="B42" i="67"/>
  <c r="B74" i="68"/>
  <c r="B41" i="68"/>
  <c r="B42" i="68"/>
  <c r="B74" i="69"/>
  <c r="B41" i="69"/>
  <c r="B42" i="69"/>
  <c r="B41" i="73"/>
  <c r="B42" i="73"/>
  <c r="B74" i="73"/>
  <c r="B42" i="70"/>
  <c r="B74" i="70"/>
  <c r="B41" i="70"/>
  <c r="B74" i="65"/>
  <c r="B41" i="65"/>
  <c r="B42" i="65"/>
  <c r="B74" i="71"/>
  <c r="B41" i="71"/>
  <c r="B42" i="71"/>
  <c r="B74" i="72"/>
  <c r="B41" i="72"/>
  <c r="B42" i="72"/>
  <c r="B74" i="66"/>
  <c r="B41" i="66"/>
  <c r="B42" i="66"/>
  <c r="B47" i="67"/>
  <c r="B47" i="68"/>
  <c r="B47" i="69"/>
  <c r="B47" i="73"/>
  <c r="B47" i="70"/>
  <c r="B47" i="65"/>
  <c r="B47" i="71"/>
  <c r="B47" i="72"/>
  <c r="B47" i="66"/>
  <c r="B16" i="71"/>
  <c r="B16" i="73"/>
  <c r="F16" i="68"/>
  <c r="F16" i="73"/>
  <c r="F16" i="72"/>
  <c r="F16" i="70"/>
  <c r="F16" i="69"/>
  <c r="F55" i="69" s="1"/>
  <c r="B16" i="67"/>
  <c r="F16" i="65"/>
  <c r="F55" i="65" s="1"/>
  <c r="J16" i="65"/>
  <c r="B12" i="73"/>
  <c r="T35" i="73"/>
  <c r="F12" i="73"/>
  <c r="B38" i="73"/>
  <c r="J12" i="73"/>
  <c r="D38" i="73"/>
  <c r="N12" i="73"/>
  <c r="B9" i="73"/>
  <c r="F9" i="73" s="1"/>
  <c r="B35" i="73"/>
  <c r="R38" i="73"/>
  <c r="R12" i="73"/>
  <c r="D35" i="73"/>
  <c r="T38" i="73"/>
  <c r="R35" i="73"/>
  <c r="J16" i="73"/>
  <c r="N16" i="73"/>
  <c r="T35" i="72"/>
  <c r="B12" i="72"/>
  <c r="F12" i="72"/>
  <c r="B38" i="72"/>
  <c r="J12" i="72"/>
  <c r="D38" i="72"/>
  <c r="N12" i="72"/>
  <c r="B9" i="72"/>
  <c r="F9" i="72" s="1"/>
  <c r="B35" i="72"/>
  <c r="R38" i="72"/>
  <c r="R12" i="72"/>
  <c r="D35" i="72"/>
  <c r="T38" i="72"/>
  <c r="R35" i="72"/>
  <c r="B16" i="72"/>
  <c r="J16" i="72"/>
  <c r="N16" i="72"/>
  <c r="B12" i="71"/>
  <c r="T35" i="71"/>
  <c r="B38" i="71"/>
  <c r="J12" i="71"/>
  <c r="D38" i="71"/>
  <c r="N12" i="71"/>
  <c r="B9" i="71"/>
  <c r="F9" i="71" s="1"/>
  <c r="B35" i="71"/>
  <c r="R38" i="71"/>
  <c r="R12" i="71"/>
  <c r="D35" i="71"/>
  <c r="T38" i="71"/>
  <c r="F12" i="71"/>
  <c r="R35" i="71"/>
  <c r="F16" i="71"/>
  <c r="J16" i="71"/>
  <c r="N16" i="71"/>
  <c r="T35" i="70"/>
  <c r="F12" i="70"/>
  <c r="B38" i="70"/>
  <c r="J12" i="70"/>
  <c r="D38" i="70"/>
  <c r="N12" i="70"/>
  <c r="B9" i="70"/>
  <c r="F9" i="70" s="1"/>
  <c r="B35" i="70"/>
  <c r="R38" i="70"/>
  <c r="D35" i="70"/>
  <c r="T38" i="70"/>
  <c r="R12" i="70"/>
  <c r="B12" i="70"/>
  <c r="R35" i="70"/>
  <c r="B16" i="70"/>
  <c r="J16" i="70"/>
  <c r="N16" i="70"/>
  <c r="B12" i="69"/>
  <c r="F12" i="69"/>
  <c r="B38" i="69"/>
  <c r="J12" i="69"/>
  <c r="T35" i="69"/>
  <c r="D38" i="69"/>
  <c r="N12" i="69"/>
  <c r="B9" i="69"/>
  <c r="F9" i="69" s="1"/>
  <c r="B35" i="69"/>
  <c r="R38" i="69"/>
  <c r="D35" i="69"/>
  <c r="T38" i="69"/>
  <c r="R12" i="69"/>
  <c r="R35" i="69"/>
  <c r="B16" i="69"/>
  <c r="B55" i="69" s="1"/>
  <c r="J16" i="69"/>
  <c r="J55" i="69" s="1"/>
  <c r="N16" i="69"/>
  <c r="B12" i="68"/>
  <c r="T35" i="68"/>
  <c r="F12" i="68"/>
  <c r="J12" i="68"/>
  <c r="B38" i="68"/>
  <c r="D38" i="68"/>
  <c r="N12" i="68"/>
  <c r="B9" i="68"/>
  <c r="F9" i="68" s="1"/>
  <c r="B35" i="68"/>
  <c r="R38" i="68"/>
  <c r="R12" i="68"/>
  <c r="D35" i="68"/>
  <c r="T38" i="68"/>
  <c r="R35" i="68"/>
  <c r="J16" i="68"/>
  <c r="N16" i="68"/>
  <c r="B12" i="67"/>
  <c r="T35" i="67"/>
  <c r="F12" i="67"/>
  <c r="J12" i="67"/>
  <c r="D38" i="67"/>
  <c r="B38" i="67"/>
  <c r="N12" i="67"/>
  <c r="B9" i="67"/>
  <c r="F9" i="67" s="1"/>
  <c r="B35" i="67"/>
  <c r="R38" i="67"/>
  <c r="R12" i="67"/>
  <c r="D35" i="67"/>
  <c r="T38" i="67"/>
  <c r="R35" i="67"/>
  <c r="J16" i="67"/>
  <c r="F16" i="67"/>
  <c r="N16" i="67"/>
  <c r="B12" i="66"/>
  <c r="F12" i="66"/>
  <c r="J12" i="66"/>
  <c r="D38" i="66"/>
  <c r="N12" i="66"/>
  <c r="B38" i="66"/>
  <c r="B9" i="66"/>
  <c r="F9" i="66" s="1"/>
  <c r="B35" i="66"/>
  <c r="R38" i="66"/>
  <c r="T35" i="66"/>
  <c r="R12" i="66"/>
  <c r="D35" i="66"/>
  <c r="T38" i="66"/>
  <c r="R35" i="66"/>
  <c r="B16" i="66"/>
  <c r="J16" i="66"/>
  <c r="F16" i="66"/>
  <c r="N16" i="66"/>
  <c r="B12" i="65"/>
  <c r="T35" i="65"/>
  <c r="F12" i="65"/>
  <c r="J12" i="65"/>
  <c r="D38" i="65"/>
  <c r="N12" i="65"/>
  <c r="B9" i="65"/>
  <c r="F9" i="65" s="1"/>
  <c r="B35" i="65"/>
  <c r="R38" i="65"/>
  <c r="B38" i="65"/>
  <c r="D35" i="65"/>
  <c r="T38" i="65"/>
  <c r="R12" i="65"/>
  <c r="R35" i="65"/>
  <c r="B16" i="65"/>
  <c r="B55" i="65" s="1"/>
  <c r="N16" i="65"/>
  <c r="R74" i="56"/>
  <c r="F8" i="69"/>
  <c r="F8" i="66"/>
  <c r="F8" i="68"/>
  <c r="F8" i="65"/>
  <c r="F8" i="71"/>
  <c r="F8" i="73"/>
  <c r="F8" i="70"/>
  <c r="F8" i="72"/>
  <c r="F8" i="67"/>
  <c r="B85" i="66" a="1"/>
  <c r="B81" i="66" a="1"/>
  <c r="B84" i="66" a="1"/>
  <c r="B82" i="66" a="1"/>
  <c r="B83" i="66" a="1"/>
  <c r="B80" i="66" a="1"/>
  <c r="B79" i="66" a="1"/>
  <c r="B78" i="66" a="1"/>
  <c r="B77" i="66" a="1"/>
  <c r="B86" i="66" a="1"/>
  <c r="B85" i="67" a="1"/>
  <c r="B86" i="67" a="1"/>
  <c r="B84" i="67" a="1"/>
  <c r="B83" i="67" a="1"/>
  <c r="B82" i="67" a="1"/>
  <c r="B81" i="67" a="1"/>
  <c r="B80" i="67" a="1"/>
  <c r="B79" i="67" a="1"/>
  <c r="B78" i="67" a="1"/>
  <c r="B77" i="67" a="1"/>
  <c r="B82" i="68" a="1"/>
  <c r="B83" i="68" a="1"/>
  <c r="B81" i="68" a="1"/>
  <c r="B80" i="68" a="1"/>
  <c r="B79" i="68" a="1"/>
  <c r="B78" i="68" a="1"/>
  <c r="B77" i="68" a="1"/>
  <c r="B86" i="68" a="1"/>
  <c r="B85" i="68" a="1"/>
  <c r="B84" i="68" a="1"/>
  <c r="B82" i="73" a="1"/>
  <c r="B81" i="73" a="1"/>
  <c r="B80" i="73" a="1"/>
  <c r="B79" i="73" a="1"/>
  <c r="B78" i="73" a="1"/>
  <c r="B77" i="73" a="1"/>
  <c r="B86" i="73" a="1"/>
  <c r="B85" i="73" a="1"/>
  <c r="B84" i="73" a="1"/>
  <c r="B83" i="73" a="1"/>
  <c r="B83" i="72" a="1"/>
  <c r="B82" i="72" a="1"/>
  <c r="B81" i="72" a="1"/>
  <c r="B80" i="72" a="1"/>
  <c r="B79" i="72" a="1"/>
  <c r="B78" i="72" a="1"/>
  <c r="B77" i="72" a="1"/>
  <c r="B86" i="72" a="1"/>
  <c r="B85" i="72" a="1"/>
  <c r="B84" i="72" a="1"/>
  <c r="B85" i="71" a="1"/>
  <c r="B86" i="71" a="1"/>
  <c r="B84" i="71" a="1"/>
  <c r="B83" i="71" a="1"/>
  <c r="B82" i="71" a="1"/>
  <c r="B81" i="71" a="1"/>
  <c r="B80" i="71" a="1"/>
  <c r="B79" i="71" a="1"/>
  <c r="B78" i="71" a="1"/>
  <c r="B77" i="71" a="1"/>
  <c r="B77" i="70" a="1"/>
  <c r="B86" i="70" a="1"/>
  <c r="B85" i="70" a="1"/>
  <c r="B84" i="70" a="1"/>
  <c r="B83" i="70" a="1"/>
  <c r="B82" i="70" a="1"/>
  <c r="B81" i="70" a="1"/>
  <c r="B80" i="70" a="1"/>
  <c r="B79" i="70" a="1"/>
  <c r="B78" i="70" a="1"/>
  <c r="B79" i="69" a="1"/>
  <c r="B80" i="69" a="1"/>
  <c r="B78" i="69" a="1"/>
  <c r="B77" i="69" a="1"/>
  <c r="B86" i="69" a="1"/>
  <c r="B85" i="69" a="1"/>
  <c r="B84" i="69" a="1"/>
  <c r="B83" i="69" a="1"/>
  <c r="B82" i="69" a="1"/>
  <c r="B81" i="69" a="1"/>
  <c r="F35" i="66" a="1"/>
  <c r="H38" i="71" a="1"/>
  <c r="H35" i="71" a="1"/>
  <c r="H38" i="72" a="1"/>
  <c r="H38" i="68" a="1"/>
  <c r="F35" i="69" a="1"/>
  <c r="F35" i="71" a="1"/>
  <c r="F38" i="72" a="1"/>
  <c r="B85" i="65" a="1"/>
  <c r="B84" i="65" a="1"/>
  <c r="B83" i="65" a="1"/>
  <c r="B82" i="65" a="1"/>
  <c r="B86" i="65" a="1"/>
  <c r="B81" i="65" a="1"/>
  <c r="B80" i="65" a="1"/>
  <c r="B79" i="65" a="1"/>
  <c r="B78" i="65" a="1"/>
  <c r="B77" i="65" a="1"/>
  <c r="H38" i="65" a="1"/>
  <c r="F35" i="65" a="1"/>
  <c r="F42" i="72" a="1"/>
  <c r="F41" i="72" a="1"/>
  <c r="F74" i="72" a="1"/>
  <c r="F74" i="66" a="1"/>
  <c r="F42" i="66" a="1"/>
  <c r="F41" i="66" a="1"/>
  <c r="H35" i="69" a="1"/>
  <c r="F42" i="69" a="1"/>
  <c r="F41" i="69" a="1"/>
  <c r="F74" i="69" a="1"/>
  <c r="F74" i="71" a="1"/>
  <c r="F42" i="71" a="1"/>
  <c r="F41" i="71" a="1"/>
  <c r="F38" i="68" a="1"/>
  <c r="F42" i="68" a="1"/>
  <c r="F41" i="68" a="1"/>
  <c r="F74" i="68" a="1"/>
  <c r="F74" i="65" a="1"/>
  <c r="F42" i="65" a="1"/>
  <c r="F41" i="65" a="1"/>
  <c r="F41" i="73" a="1"/>
  <c r="F74" i="73" a="1"/>
  <c r="F42" i="73" a="1"/>
  <c r="F38" i="67" a="1"/>
  <c r="H35" i="67" a="1"/>
  <c r="H38" i="67" a="1"/>
  <c r="F35" i="67" a="1"/>
  <c r="F74" i="67" a="1"/>
  <c r="F42" i="67" a="1"/>
  <c r="F41" i="67" a="1"/>
  <c r="F35" i="70" a="1"/>
  <c r="H35" i="70" a="1"/>
  <c r="F42" i="70" a="1"/>
  <c r="F41" i="70" a="1"/>
  <c r="F74" i="70" a="1"/>
  <c r="B86" i="66" l="1"/>
  <c r="B77" i="66"/>
  <c r="B78" i="66"/>
  <c r="B79" i="66"/>
  <c r="B80" i="66"/>
  <c r="B83" i="66"/>
  <c r="B82" i="66"/>
  <c r="B84" i="66"/>
  <c r="B81" i="66"/>
  <c r="B85" i="66"/>
  <c r="B77" i="67"/>
  <c r="B78" i="67"/>
  <c r="B79" i="67"/>
  <c r="B80" i="67"/>
  <c r="B81" i="67"/>
  <c r="B82" i="67"/>
  <c r="B83" i="67"/>
  <c r="B84" i="67"/>
  <c r="B86" i="67"/>
  <c r="B85" i="67"/>
  <c r="B84" i="68"/>
  <c r="B85" i="68"/>
  <c r="B86" i="68"/>
  <c r="B77" i="68"/>
  <c r="B78" i="68"/>
  <c r="B79" i="68"/>
  <c r="B80" i="68"/>
  <c r="B81" i="68"/>
  <c r="B83" i="68"/>
  <c r="B82" i="68"/>
  <c r="B83" i="73"/>
  <c r="B84" i="73"/>
  <c r="B85" i="73"/>
  <c r="B86" i="73"/>
  <c r="B77" i="73"/>
  <c r="B78" i="73"/>
  <c r="B79" i="73"/>
  <c r="B80" i="73"/>
  <c r="B81" i="73"/>
  <c r="B82" i="73"/>
  <c r="B84" i="72"/>
  <c r="B85" i="72"/>
  <c r="B86" i="72"/>
  <c r="B77" i="72"/>
  <c r="B78" i="72"/>
  <c r="B79" i="72"/>
  <c r="B80" i="72"/>
  <c r="B81" i="72"/>
  <c r="B82" i="72"/>
  <c r="B83" i="72"/>
  <c r="B77" i="71"/>
  <c r="B78" i="71"/>
  <c r="B79" i="71"/>
  <c r="B80" i="71"/>
  <c r="B81" i="71"/>
  <c r="B82" i="71"/>
  <c r="B83" i="71"/>
  <c r="B84" i="71"/>
  <c r="B86" i="71"/>
  <c r="B85" i="71"/>
  <c r="B78" i="70"/>
  <c r="B79" i="70"/>
  <c r="B80" i="70"/>
  <c r="B81" i="70"/>
  <c r="B82" i="70"/>
  <c r="B83" i="70"/>
  <c r="B84" i="70"/>
  <c r="B85" i="70"/>
  <c r="B86" i="70"/>
  <c r="B77" i="70"/>
  <c r="B81" i="69"/>
  <c r="B82" i="69"/>
  <c r="B83" i="69"/>
  <c r="B84" i="69"/>
  <c r="B85" i="69"/>
  <c r="B86" i="69"/>
  <c r="B77" i="69"/>
  <c r="B78" i="69"/>
  <c r="B80" i="69"/>
  <c r="B79" i="69"/>
  <c r="F74" i="70"/>
  <c r="F41" i="70"/>
  <c r="F42" i="70"/>
  <c r="F41" i="67"/>
  <c r="F42" i="67"/>
  <c r="F74" i="67"/>
  <c r="F42" i="73"/>
  <c r="F74" i="73"/>
  <c r="F41" i="73"/>
  <c r="F41" i="65"/>
  <c r="F42" i="65"/>
  <c r="F74" i="65"/>
  <c r="F74" i="68"/>
  <c r="F41" i="68"/>
  <c r="F42" i="68"/>
  <c r="F41" i="71"/>
  <c r="F42" i="71"/>
  <c r="F74" i="71"/>
  <c r="F74" i="69"/>
  <c r="F41" i="69"/>
  <c r="F42" i="69"/>
  <c r="F41" i="66"/>
  <c r="F42" i="66"/>
  <c r="F74" i="66"/>
  <c r="F74" i="72"/>
  <c r="F41" i="72"/>
  <c r="F42" i="72"/>
  <c r="F47" i="70"/>
  <c r="F47" i="67"/>
  <c r="F47" i="73"/>
  <c r="F47" i="65"/>
  <c r="F47" i="68"/>
  <c r="F47" i="71"/>
  <c r="F47" i="69"/>
  <c r="F47" i="66"/>
  <c r="F47" i="72"/>
  <c r="B77" i="65"/>
  <c r="B78" i="65"/>
  <c r="B79" i="65"/>
  <c r="B80" i="65"/>
  <c r="B81" i="65"/>
  <c r="B86" i="65"/>
  <c r="B82" i="65"/>
  <c r="B83" i="65"/>
  <c r="B84" i="65"/>
  <c r="B85" i="65"/>
  <c r="J9" i="73"/>
  <c r="H38" i="72"/>
  <c r="F38" i="72"/>
  <c r="J9" i="72"/>
  <c r="F35" i="71"/>
  <c r="H38" i="71"/>
  <c r="H35" i="71"/>
  <c r="J9" i="71"/>
  <c r="F35" i="70"/>
  <c r="H35" i="70"/>
  <c r="J9" i="70"/>
  <c r="F35" i="69"/>
  <c r="H35" i="69"/>
  <c r="J9" i="69"/>
  <c r="F38" i="68"/>
  <c r="H38" i="68"/>
  <c r="J9" i="68"/>
  <c r="F35" i="67"/>
  <c r="H38" i="67"/>
  <c r="F38" i="67"/>
  <c r="H35" i="67"/>
  <c r="J9" i="67"/>
  <c r="F35" i="66"/>
  <c r="J9" i="66"/>
  <c r="F35" i="65"/>
  <c r="H38" i="65"/>
  <c r="J9" i="65"/>
  <c r="J8" i="67"/>
  <c r="J8" i="66"/>
  <c r="J8" i="69"/>
  <c r="J8" i="65"/>
  <c r="J8" i="72"/>
  <c r="J8" i="68"/>
  <c r="J8" i="73"/>
  <c r="J8" i="71"/>
  <c r="J8" i="70"/>
  <c r="H35" i="66" a="1"/>
  <c r="L35" i="71" a="1"/>
  <c r="F35" i="68" a="1"/>
  <c r="F38" i="66" a="1"/>
  <c r="H35" i="68" a="1"/>
  <c r="H35" i="73" a="1"/>
  <c r="J35" i="70" a="1"/>
  <c r="L38" i="71" a="1"/>
  <c r="F38" i="73" a="1"/>
  <c r="F35" i="73" a="1"/>
  <c r="L38" i="67" a="1"/>
  <c r="H38" i="66" a="1"/>
  <c r="J38" i="71" a="1"/>
  <c r="H35" i="72" a="1"/>
  <c r="L35" i="70" a="1"/>
  <c r="H38" i="69" a="1"/>
  <c r="J35" i="72" a="1"/>
  <c r="J35" i="67" a="1"/>
  <c r="F35" i="72" a="1"/>
  <c r="J35" i="71" a="1"/>
  <c r="J38" i="70" a="1"/>
  <c r="F38" i="70" a="1"/>
  <c r="F38" i="69" a="1"/>
  <c r="H38" i="70" a="1"/>
  <c r="L38" i="72" a="1"/>
  <c r="F38" i="71" a="1"/>
  <c r="F86" i="67" a="1"/>
  <c r="F85" i="67" a="1"/>
  <c r="F84" i="67" a="1"/>
  <c r="F83" i="67" a="1"/>
  <c r="F82" i="67" a="1"/>
  <c r="F81" i="67" a="1"/>
  <c r="F80" i="67" a="1"/>
  <c r="F79" i="67" a="1"/>
  <c r="F78" i="67" a="1"/>
  <c r="F77" i="67" a="1"/>
  <c r="H38" i="73" a="1"/>
  <c r="F38" i="65" a="1"/>
  <c r="J38" i="65" a="1"/>
  <c r="L35" i="65" a="1"/>
  <c r="L38" i="65" a="1"/>
  <c r="H35" i="65" a="1"/>
  <c r="R38" i="56" a="1"/>
  <c r="T38" i="56" a="1"/>
  <c r="J41" i="71" a="1"/>
  <c r="J74" i="71" a="1"/>
  <c r="J42" i="71" a="1"/>
  <c r="J42" i="70" a="1"/>
  <c r="J41" i="70" a="1"/>
  <c r="J74" i="70" a="1"/>
  <c r="J35" i="69" a="1"/>
  <c r="J42" i="69" a="1"/>
  <c r="J41" i="69" a="1"/>
  <c r="J74" i="69" a="1"/>
  <c r="J41" i="67" a="1"/>
  <c r="J74" i="67" a="1"/>
  <c r="J42" i="67" a="1"/>
  <c r="J74" i="68" a="1"/>
  <c r="J42" i="68" a="1"/>
  <c r="J41" i="68" a="1"/>
  <c r="J38" i="73" a="1"/>
  <c r="J42" i="73" a="1"/>
  <c r="J41" i="73" a="1"/>
  <c r="J74" i="73" a="1"/>
  <c r="L35" i="72" a="1"/>
  <c r="J74" i="72" a="1"/>
  <c r="J42" i="72" a="1"/>
  <c r="J41" i="72" a="1"/>
  <c r="J74" i="65" a="1"/>
  <c r="J41" i="65" a="1"/>
  <c r="J42" i="65" a="1"/>
  <c r="J38" i="66" a="1"/>
  <c r="J41" i="66" a="1"/>
  <c r="J42" i="66" a="1"/>
  <c r="J74" i="66" a="1"/>
  <c r="J74" i="66" l="1"/>
  <c r="J42" i="66"/>
  <c r="J41" i="66"/>
  <c r="J42" i="65"/>
  <c r="J41" i="65"/>
  <c r="J74" i="65"/>
  <c r="J41" i="72"/>
  <c r="J42" i="72"/>
  <c r="J74" i="72"/>
  <c r="J74" i="73"/>
  <c r="J41" i="73"/>
  <c r="J42" i="73"/>
  <c r="J41" i="68"/>
  <c r="J42" i="68"/>
  <c r="J74" i="68"/>
  <c r="J42" i="67"/>
  <c r="J74" i="67"/>
  <c r="J41" i="67"/>
  <c r="J74" i="69"/>
  <c r="J41" i="69"/>
  <c r="J42" i="69"/>
  <c r="J74" i="70"/>
  <c r="J41" i="70"/>
  <c r="J42" i="70"/>
  <c r="J42" i="71"/>
  <c r="J74" i="71"/>
  <c r="J41" i="71"/>
  <c r="F77" i="67"/>
  <c r="F78" i="67"/>
  <c r="F79" i="67"/>
  <c r="F80" i="67"/>
  <c r="F81" i="67"/>
  <c r="F82" i="67"/>
  <c r="F83" i="67"/>
  <c r="F84" i="67"/>
  <c r="F85" i="67"/>
  <c r="F86" i="67"/>
  <c r="J47" i="66"/>
  <c r="J47" i="65"/>
  <c r="J47" i="72"/>
  <c r="J47" i="73"/>
  <c r="J47" i="68"/>
  <c r="J47" i="67"/>
  <c r="J47" i="69"/>
  <c r="J47" i="70"/>
  <c r="J47" i="71"/>
  <c r="F38" i="70"/>
  <c r="F35" i="72"/>
  <c r="H35" i="68"/>
  <c r="F38" i="69"/>
  <c r="H38" i="73"/>
  <c r="H35" i="66"/>
  <c r="H35" i="73"/>
  <c r="H35" i="65"/>
  <c r="F38" i="73"/>
  <c r="H38" i="66"/>
  <c r="H38" i="70"/>
  <c r="F38" i="71"/>
  <c r="H38" i="69"/>
  <c r="H35" i="72"/>
  <c r="F38" i="66"/>
  <c r="F38" i="65"/>
  <c r="F35" i="68"/>
  <c r="F35" i="73"/>
  <c r="J38" i="73"/>
  <c r="N9" i="73"/>
  <c r="L35" i="72"/>
  <c r="J35" i="72"/>
  <c r="L38" i="72"/>
  <c r="N9" i="72"/>
  <c r="J38" i="71"/>
  <c r="L35" i="71"/>
  <c r="L38" i="71"/>
  <c r="J35" i="71"/>
  <c r="N9" i="71"/>
  <c r="J38" i="70"/>
  <c r="L35" i="70"/>
  <c r="J35" i="70"/>
  <c r="N9" i="70"/>
  <c r="J35" i="69"/>
  <c r="N9" i="69"/>
  <c r="N9" i="68"/>
  <c r="J35" i="67"/>
  <c r="L38" i="67"/>
  <c r="N9" i="67"/>
  <c r="J38" i="66"/>
  <c r="N9" i="66"/>
  <c r="J38" i="65"/>
  <c r="L35" i="65"/>
  <c r="L38" i="65"/>
  <c r="N9" i="65"/>
  <c r="T38" i="56"/>
  <c r="R38" i="56"/>
  <c r="N8" i="69"/>
  <c r="N8" i="72"/>
  <c r="N8" i="68"/>
  <c r="N8" i="71"/>
  <c r="N8" i="73"/>
  <c r="N8" i="70"/>
  <c r="N8" i="67"/>
  <c r="N8" i="66"/>
  <c r="N8" i="65"/>
  <c r="F80" i="70" a="1"/>
  <c r="F81" i="70" a="1"/>
  <c r="F82" i="70" a="1"/>
  <c r="F83" i="70" a="1"/>
  <c r="F84" i="70" a="1"/>
  <c r="F85" i="70" a="1"/>
  <c r="F86" i="70" a="1"/>
  <c r="F77" i="70" a="1"/>
  <c r="F79" i="70" a="1"/>
  <c r="F78" i="70" a="1"/>
  <c r="L35" i="69" a="1"/>
  <c r="J38" i="67" a="1"/>
  <c r="F77" i="71" a="1"/>
  <c r="F78" i="71" a="1"/>
  <c r="F79" i="71" a="1"/>
  <c r="F80" i="71" a="1"/>
  <c r="F81" i="71" a="1"/>
  <c r="F82" i="71" a="1"/>
  <c r="F83" i="71" a="1"/>
  <c r="F84" i="71" a="1"/>
  <c r="F85" i="71" a="1"/>
  <c r="F86" i="71" a="1"/>
  <c r="L35" i="73" a="1"/>
  <c r="F85" i="72" a="1"/>
  <c r="F84" i="72" a="1"/>
  <c r="F83" i="72" a="1"/>
  <c r="F82" i="72" a="1"/>
  <c r="F81" i="72" a="1"/>
  <c r="F80" i="72" a="1"/>
  <c r="F79" i="72" a="1"/>
  <c r="F78" i="72" a="1"/>
  <c r="F77" i="72" a="1"/>
  <c r="F86" i="72" a="1"/>
  <c r="L38" i="73" a="1"/>
  <c r="J77" i="71" a="1"/>
  <c r="J78" i="71" a="1"/>
  <c r="J86" i="71" a="1"/>
  <c r="J85" i="71" a="1"/>
  <c r="J84" i="71" a="1"/>
  <c r="J83" i="71" a="1"/>
  <c r="J82" i="71" a="1"/>
  <c r="J81" i="71" a="1"/>
  <c r="J80" i="71" a="1"/>
  <c r="J79" i="71" a="1"/>
  <c r="L38" i="70" a="1"/>
  <c r="J35" i="68" a="1"/>
  <c r="F84" i="68" a="1"/>
  <c r="F85" i="68" a="1"/>
  <c r="F83" i="68" a="1"/>
  <c r="F82" i="68" a="1"/>
  <c r="F81" i="68" a="1"/>
  <c r="F80" i="68" a="1"/>
  <c r="F79" i="68" a="1"/>
  <c r="F78" i="68" a="1"/>
  <c r="F77" i="68" a="1"/>
  <c r="F86" i="68" a="1"/>
  <c r="J38" i="68" a="1"/>
  <c r="F78" i="73" a="1"/>
  <c r="F77" i="73" a="1"/>
  <c r="F82" i="73" a="1"/>
  <c r="F81" i="73" a="1"/>
  <c r="F80" i="73" a="1"/>
  <c r="F79" i="73" a="1"/>
  <c r="F86" i="73" a="1"/>
  <c r="F85" i="73" a="1"/>
  <c r="F84" i="73" a="1"/>
  <c r="F83" i="73" a="1"/>
  <c r="J38" i="69" a="1"/>
  <c r="L35" i="67" a="1"/>
  <c r="J35" i="66" a="1"/>
  <c r="P35" i="66" a="1"/>
  <c r="L38" i="66" a="1"/>
  <c r="L38" i="69" a="1"/>
  <c r="J38" i="72" a="1"/>
  <c r="J35" i="73" a="1"/>
  <c r="F83" i="69" a="1"/>
  <c r="F84" i="69" a="1"/>
  <c r="F85" i="69" a="1"/>
  <c r="F86" i="69" a="1"/>
  <c r="F77" i="69" a="1"/>
  <c r="F78" i="69" a="1"/>
  <c r="F79" i="69" a="1"/>
  <c r="F80" i="69" a="1"/>
  <c r="F82" i="69" a="1"/>
  <c r="F81" i="69" a="1"/>
  <c r="N38" i="70" a="1"/>
  <c r="N38" i="66" a="1"/>
  <c r="L38" i="68" a="1"/>
  <c r="N35" i="66" a="1"/>
  <c r="N38" i="69" a="1"/>
  <c r="L35" i="66" a="1"/>
  <c r="P38" i="69" a="1"/>
  <c r="N38" i="71" a="1"/>
  <c r="F77" i="66" a="1"/>
  <c r="F78" i="66" a="1"/>
  <c r="F79" i="66" a="1"/>
  <c r="F80" i="66" a="1"/>
  <c r="F85" i="66" a="1"/>
  <c r="F81" i="66" a="1"/>
  <c r="F82" i="66" a="1"/>
  <c r="F83" i="66" a="1"/>
  <c r="F84" i="66" a="1"/>
  <c r="F86" i="66" a="1"/>
  <c r="L35" i="68" a="1"/>
  <c r="F77" i="65" a="1"/>
  <c r="F78" i="65" a="1"/>
  <c r="F79" i="65" a="1"/>
  <c r="F80" i="65" a="1"/>
  <c r="F81" i="65" a="1"/>
  <c r="F82" i="65" a="1"/>
  <c r="F83" i="65" a="1"/>
  <c r="F84" i="65" a="1"/>
  <c r="F85" i="65" a="1"/>
  <c r="F86" i="65" a="1"/>
  <c r="J35" i="65" a="1"/>
  <c r="N41" i="68" a="1"/>
  <c r="N74" i="68" a="1"/>
  <c r="N42" i="68" a="1"/>
  <c r="P38" i="66" a="1"/>
  <c r="N42" i="66" a="1"/>
  <c r="N74" i="66" a="1"/>
  <c r="N41" i="66" a="1"/>
  <c r="N42" i="70" a="1"/>
  <c r="N41" i="70" a="1"/>
  <c r="N74" i="70" a="1"/>
  <c r="P35" i="69" a="1"/>
  <c r="N42" i="69" a="1"/>
  <c r="N41" i="69" a="1"/>
  <c r="N74" i="69" a="1"/>
  <c r="N35" i="67" a="1"/>
  <c r="N38" i="67" a="1"/>
  <c r="P35" i="67" a="1"/>
  <c r="N42" i="67" a="1"/>
  <c r="N41" i="67" a="1"/>
  <c r="N74" i="67" a="1"/>
  <c r="N42" i="73" a="1"/>
  <c r="N41" i="73" a="1"/>
  <c r="N74" i="73" a="1"/>
  <c r="N41" i="72" a="1"/>
  <c r="N74" i="72" a="1"/>
  <c r="N42" i="72" a="1"/>
  <c r="N41" i="65" a="1"/>
  <c r="N74" i="65" a="1"/>
  <c r="N42" i="65" a="1"/>
  <c r="N35" i="71" a="1"/>
  <c r="P38" i="71" a="1"/>
  <c r="P35" i="71" a="1"/>
  <c r="N42" i="71" a="1"/>
  <c r="N41" i="71" a="1"/>
  <c r="N74" i="71" a="1"/>
  <c r="N74" i="71" l="1"/>
  <c r="N41" i="71"/>
  <c r="N42" i="71"/>
  <c r="N42" i="65"/>
  <c r="N74" i="65"/>
  <c r="N41" i="65"/>
  <c r="N42" i="72"/>
  <c r="N74" i="72"/>
  <c r="N41" i="72"/>
  <c r="N74" i="73"/>
  <c r="N41" i="73"/>
  <c r="N42" i="73"/>
  <c r="N74" i="67"/>
  <c r="N41" i="67"/>
  <c r="N42" i="67"/>
  <c r="N74" i="69"/>
  <c r="N41" i="69"/>
  <c r="N42" i="69"/>
  <c r="N74" i="70"/>
  <c r="N41" i="70"/>
  <c r="N42" i="70"/>
  <c r="N41" i="66"/>
  <c r="N74" i="66"/>
  <c r="N42" i="66"/>
  <c r="N42" i="68"/>
  <c r="N74" i="68"/>
  <c r="N41" i="68"/>
  <c r="F86" i="66"/>
  <c r="F84" i="66"/>
  <c r="F83" i="66"/>
  <c r="F82" i="66"/>
  <c r="F81" i="66"/>
  <c r="F85" i="66"/>
  <c r="F80" i="66"/>
  <c r="F79" i="66"/>
  <c r="F78" i="66"/>
  <c r="F77" i="66"/>
  <c r="N47" i="71"/>
  <c r="J48" i="71" s="1"/>
  <c r="J51" i="71" s="1"/>
  <c r="N47" i="65"/>
  <c r="F81" i="69"/>
  <c r="F82" i="69"/>
  <c r="F80" i="69"/>
  <c r="F79" i="69"/>
  <c r="F78" i="69"/>
  <c r="F77" i="69"/>
  <c r="F86" i="69"/>
  <c r="F85" i="69"/>
  <c r="F84" i="69"/>
  <c r="F83" i="69"/>
  <c r="N47" i="72"/>
  <c r="J48" i="72" s="1"/>
  <c r="J51" i="72" s="1"/>
  <c r="N47" i="73"/>
  <c r="N48" i="73" s="1"/>
  <c r="N51" i="73" s="1"/>
  <c r="N47" i="67"/>
  <c r="N47" i="69"/>
  <c r="N48" i="69" s="1"/>
  <c r="N51" i="69" s="1"/>
  <c r="N47" i="70"/>
  <c r="F48" i="70" s="1"/>
  <c r="F51" i="70" s="1"/>
  <c r="N47" i="66"/>
  <c r="B48" i="66" s="1"/>
  <c r="B51" i="66" s="1"/>
  <c r="F83" i="73"/>
  <c r="F84" i="73"/>
  <c r="F85" i="73"/>
  <c r="F86" i="73"/>
  <c r="F79" i="73"/>
  <c r="F80" i="73"/>
  <c r="F81" i="73"/>
  <c r="F82" i="73"/>
  <c r="F77" i="73"/>
  <c r="F78" i="73"/>
  <c r="N47" i="68"/>
  <c r="J48" i="68" s="1"/>
  <c r="J51" i="68" s="1"/>
  <c r="F86" i="68"/>
  <c r="F77" i="68"/>
  <c r="F78" i="68"/>
  <c r="F79" i="68"/>
  <c r="F80" i="68"/>
  <c r="F81" i="68"/>
  <c r="F82" i="68"/>
  <c r="F83" i="68"/>
  <c r="F85" i="68"/>
  <c r="F84" i="68"/>
  <c r="J35" i="68"/>
  <c r="J79" i="71"/>
  <c r="J80" i="71"/>
  <c r="J81" i="71"/>
  <c r="J82" i="71"/>
  <c r="J83" i="71"/>
  <c r="J84" i="71"/>
  <c r="J85" i="71"/>
  <c r="J86" i="71"/>
  <c r="J78" i="71"/>
  <c r="J77" i="71"/>
  <c r="F86" i="72"/>
  <c r="F77" i="72"/>
  <c r="F78" i="72"/>
  <c r="F79" i="72"/>
  <c r="F80" i="72"/>
  <c r="F81" i="72"/>
  <c r="F82" i="72"/>
  <c r="F83" i="72"/>
  <c r="F84" i="72"/>
  <c r="F85" i="72"/>
  <c r="F86" i="71"/>
  <c r="F85" i="71"/>
  <c r="F84" i="71"/>
  <c r="F83" i="71"/>
  <c r="F82" i="71"/>
  <c r="F81" i="71"/>
  <c r="F80" i="71"/>
  <c r="F79" i="71"/>
  <c r="F78" i="71"/>
  <c r="F77" i="71"/>
  <c r="F78" i="70"/>
  <c r="F79" i="70"/>
  <c r="F77" i="70"/>
  <c r="F86" i="70"/>
  <c r="F85" i="70"/>
  <c r="F84" i="70"/>
  <c r="F83" i="70"/>
  <c r="F82" i="70"/>
  <c r="F81" i="70"/>
  <c r="F80" i="70"/>
  <c r="F86" i="65"/>
  <c r="F85" i="65"/>
  <c r="F84" i="65"/>
  <c r="F83" i="65"/>
  <c r="F82" i="65"/>
  <c r="F81" i="65"/>
  <c r="F80" i="65"/>
  <c r="F79" i="65"/>
  <c r="F78" i="65"/>
  <c r="F77" i="65"/>
  <c r="J38" i="72"/>
  <c r="L38" i="66"/>
  <c r="L38" i="70"/>
  <c r="J35" i="65"/>
  <c r="J38" i="69"/>
  <c r="L38" i="69"/>
  <c r="J35" i="66"/>
  <c r="L35" i="68"/>
  <c r="L35" i="66"/>
  <c r="J35" i="73"/>
  <c r="J38" i="67"/>
  <c r="J38" i="68"/>
  <c r="L35" i="73"/>
  <c r="L35" i="69"/>
  <c r="L38" i="73"/>
  <c r="L35" i="67"/>
  <c r="L38" i="68"/>
  <c r="P35" i="71"/>
  <c r="N35" i="71"/>
  <c r="P38" i="71"/>
  <c r="N38" i="71"/>
  <c r="N38" i="70"/>
  <c r="P35" i="69"/>
  <c r="P38" i="69"/>
  <c r="N38" i="69"/>
  <c r="P35" i="67"/>
  <c r="N35" i="67"/>
  <c r="N38" i="67"/>
  <c r="P35" i="66"/>
  <c r="N35" i="66"/>
  <c r="P38" i="66"/>
  <c r="N38" i="66"/>
  <c r="R45" i="56"/>
  <c r="R44" i="56"/>
  <c r="R47" i="56" s="1"/>
  <c r="N44" i="56"/>
  <c r="J44" i="56"/>
  <c r="F44" i="56"/>
  <c r="B44" i="56"/>
  <c r="B27" i="56"/>
  <c r="D27" i="56"/>
  <c r="P27" i="56"/>
  <c r="N27" i="56"/>
  <c r="L27" i="56"/>
  <c r="J27" i="56"/>
  <c r="H27" i="56"/>
  <c r="F27" i="56"/>
  <c r="J86" i="68" a="1"/>
  <c r="J85" i="68" a="1"/>
  <c r="J84" i="68" a="1"/>
  <c r="J83" i="68" a="1"/>
  <c r="J82" i="68" a="1"/>
  <c r="J81" i="68" a="1"/>
  <c r="J80" i="68" a="1"/>
  <c r="J79" i="68" a="1"/>
  <c r="J78" i="68" a="1"/>
  <c r="J77" i="68" a="1"/>
  <c r="J82" i="70" a="1"/>
  <c r="J83" i="70" a="1"/>
  <c r="J84" i="70" a="1"/>
  <c r="J85" i="70" a="1"/>
  <c r="J86" i="70" a="1"/>
  <c r="J77" i="70" a="1"/>
  <c r="J78" i="70" a="1"/>
  <c r="J79" i="70" a="1"/>
  <c r="J81" i="70" a="1"/>
  <c r="J80" i="70" a="1"/>
  <c r="P35" i="72" a="1"/>
  <c r="P38" i="67" a="1"/>
  <c r="N35" i="68" a="1"/>
  <c r="J85" i="69" a="1"/>
  <c r="J86" i="69" a="1"/>
  <c r="J77" i="69" a="1"/>
  <c r="J78" i="69" a="1"/>
  <c r="J79" i="69" a="1"/>
  <c r="J80" i="69" a="1"/>
  <c r="J81" i="69" a="1"/>
  <c r="J82" i="69" a="1"/>
  <c r="J84" i="69" a="1"/>
  <c r="J83" i="69" a="1"/>
  <c r="N35" i="72" a="1"/>
  <c r="N77" i="66" a="1"/>
  <c r="N79" i="66" a="1"/>
  <c r="N78" i="66" a="1"/>
  <c r="N85" i="66" a="1"/>
  <c r="N84" i="66" a="1"/>
  <c r="N86" i="66" a="1"/>
  <c r="N83" i="66" a="1"/>
  <c r="N81" i="66" a="1"/>
  <c r="N82" i="66" a="1"/>
  <c r="N80" i="66" a="1"/>
  <c r="P38" i="70" a="1"/>
  <c r="P35" i="70" a="1"/>
  <c r="N35" i="70" a="1"/>
  <c r="J77" i="66" a="1"/>
  <c r="J86" i="66" a="1"/>
  <c r="J83" i="66" a="1"/>
  <c r="J85" i="66" a="1"/>
  <c r="J84" i="66" a="1"/>
  <c r="J82" i="66" a="1"/>
  <c r="J81" i="66" a="1"/>
  <c r="J80" i="66" a="1"/>
  <c r="J79" i="66" a="1"/>
  <c r="J78" i="66" a="1"/>
  <c r="N80" i="71" a="1"/>
  <c r="N79" i="71" a="1"/>
  <c r="N78" i="71" a="1"/>
  <c r="N77" i="71" a="1"/>
  <c r="N86" i="71" a="1"/>
  <c r="N85" i="71" a="1"/>
  <c r="N84" i="71" a="1"/>
  <c r="N83" i="71" a="1"/>
  <c r="N82" i="71" a="1"/>
  <c r="N81" i="71" a="1"/>
  <c r="P35" i="68" a="1"/>
  <c r="N38" i="68" a="1"/>
  <c r="N35" i="69" a="1"/>
  <c r="N35" i="73" a="1"/>
  <c r="N38" i="72" a="1"/>
  <c r="J77" i="72" a="1"/>
  <c r="J78" i="72" a="1"/>
  <c r="J79" i="72" a="1"/>
  <c r="J80" i="72" a="1"/>
  <c r="J81" i="72" a="1"/>
  <c r="J82" i="72" a="1"/>
  <c r="J83" i="72" a="1"/>
  <c r="J84" i="72" a="1"/>
  <c r="J85" i="72" a="1"/>
  <c r="J86" i="72" a="1"/>
  <c r="P35" i="73" a="1"/>
  <c r="P38" i="73" a="1"/>
  <c r="P38" i="68" a="1"/>
  <c r="J79" i="73" a="1"/>
  <c r="J77" i="73" a="1"/>
  <c r="J78" i="73" a="1"/>
  <c r="J83" i="73" a="1"/>
  <c r="J81" i="73" a="1"/>
  <c r="J84" i="73" a="1"/>
  <c r="J82" i="73" a="1"/>
  <c r="J80" i="73" a="1"/>
  <c r="J86" i="73" a="1"/>
  <c r="J85" i="73" a="1"/>
  <c r="P38" i="72" a="1"/>
  <c r="J79" i="67" a="1"/>
  <c r="J80" i="67" a="1"/>
  <c r="J81" i="67" a="1"/>
  <c r="J82" i="67" a="1"/>
  <c r="J83" i="67" a="1"/>
  <c r="J84" i="67" a="1"/>
  <c r="J85" i="67" a="1"/>
  <c r="J86" i="67" a="1"/>
  <c r="J77" i="67" a="1"/>
  <c r="J78" i="67" a="1"/>
  <c r="N38" i="73" a="1"/>
  <c r="P35" i="65" a="1"/>
  <c r="N35" i="65" a="1"/>
  <c r="J77" i="65" a="1"/>
  <c r="J86" i="65" a="1"/>
  <c r="J85" i="65" a="1"/>
  <c r="J78" i="65" a="1"/>
  <c r="J84" i="65" a="1"/>
  <c r="J83" i="65" a="1"/>
  <c r="J82" i="65" a="1"/>
  <c r="J81" i="65" a="1"/>
  <c r="J80" i="65" a="1"/>
  <c r="J79" i="65" a="1"/>
  <c r="N38" i="65" a="1"/>
  <c r="P38" i="65" a="1"/>
  <c r="F48" i="69" l="1"/>
  <c r="F51" i="69" s="1"/>
  <c r="B48" i="69"/>
  <c r="B51" i="69" s="1"/>
  <c r="J48" i="66"/>
  <c r="J51" i="66" s="1"/>
  <c r="R48" i="66"/>
  <c r="R51" i="66" s="1"/>
  <c r="B48" i="73"/>
  <c r="B51" i="73" s="1"/>
  <c r="J48" i="70"/>
  <c r="J51" i="70" s="1"/>
  <c r="J48" i="69"/>
  <c r="J51" i="69" s="1"/>
  <c r="J78" i="67"/>
  <c r="J77" i="67"/>
  <c r="J86" i="67"/>
  <c r="J85" i="67"/>
  <c r="J84" i="67"/>
  <c r="J83" i="67"/>
  <c r="J82" i="67"/>
  <c r="J81" i="67"/>
  <c r="J80" i="67"/>
  <c r="J79" i="67"/>
  <c r="J85" i="73"/>
  <c r="J86" i="73"/>
  <c r="J80" i="73"/>
  <c r="J82" i="73"/>
  <c r="J84" i="73"/>
  <c r="J81" i="73"/>
  <c r="J83" i="73"/>
  <c r="J78" i="73"/>
  <c r="J77" i="73"/>
  <c r="J79" i="73"/>
  <c r="J86" i="72"/>
  <c r="J85" i="72"/>
  <c r="J84" i="72"/>
  <c r="J83" i="72"/>
  <c r="J82" i="72"/>
  <c r="J81" i="72"/>
  <c r="J80" i="72"/>
  <c r="J79" i="72"/>
  <c r="J78" i="72"/>
  <c r="J77" i="72"/>
  <c r="N81" i="71"/>
  <c r="T81" i="71" s="1"/>
  <c r="N82" i="71"/>
  <c r="T82" i="71" s="1"/>
  <c r="N83" i="71"/>
  <c r="T83" i="71" s="1"/>
  <c r="N84" i="71"/>
  <c r="T84" i="71" s="1"/>
  <c r="N85" i="71"/>
  <c r="N86" i="71"/>
  <c r="T86" i="71" s="1"/>
  <c r="N77" i="71"/>
  <c r="T77" i="71" s="1"/>
  <c r="N78" i="71"/>
  <c r="T78" i="71" s="1"/>
  <c r="N79" i="71"/>
  <c r="T79" i="71" s="1"/>
  <c r="N80" i="71"/>
  <c r="T80" i="71" s="1"/>
  <c r="J78" i="66"/>
  <c r="J79" i="66"/>
  <c r="J80" i="66"/>
  <c r="J81" i="66"/>
  <c r="J82" i="66"/>
  <c r="J84" i="66"/>
  <c r="J85" i="66"/>
  <c r="J83" i="66"/>
  <c r="J86" i="66"/>
  <c r="J77" i="66"/>
  <c r="N80" i="66"/>
  <c r="N82" i="66"/>
  <c r="N81" i="66"/>
  <c r="N83" i="66"/>
  <c r="N86" i="66"/>
  <c r="N84" i="66"/>
  <c r="N85" i="66"/>
  <c r="N78" i="66"/>
  <c r="N79" i="66"/>
  <c r="N77" i="66"/>
  <c r="J83" i="69"/>
  <c r="J84" i="69"/>
  <c r="J82" i="69"/>
  <c r="J81" i="69"/>
  <c r="J80" i="69"/>
  <c r="J79" i="69"/>
  <c r="J78" i="69"/>
  <c r="J77" i="69"/>
  <c r="J86" i="69"/>
  <c r="J85" i="69"/>
  <c r="J80" i="70"/>
  <c r="J81" i="70"/>
  <c r="J79" i="70"/>
  <c r="J78" i="70"/>
  <c r="J77" i="70"/>
  <c r="J86" i="70"/>
  <c r="J85" i="70"/>
  <c r="J84" i="70"/>
  <c r="J83" i="70"/>
  <c r="J82" i="70"/>
  <c r="J77" i="68"/>
  <c r="J78" i="68"/>
  <c r="J79" i="68"/>
  <c r="J80" i="68"/>
  <c r="J81" i="68"/>
  <c r="J82" i="68"/>
  <c r="J83" i="68"/>
  <c r="J84" i="68"/>
  <c r="J85" i="68"/>
  <c r="J86" i="68"/>
  <c r="N48" i="67"/>
  <c r="N51" i="67" s="1"/>
  <c r="R48" i="67"/>
  <c r="R51" i="67" s="1"/>
  <c r="F48" i="67"/>
  <c r="F51" i="67" s="1"/>
  <c r="R48" i="69"/>
  <c r="R51" i="69" s="1"/>
  <c r="T85" i="71"/>
  <c r="N48" i="72"/>
  <c r="N51" i="72" s="1"/>
  <c r="R48" i="72"/>
  <c r="R51" i="72" s="1"/>
  <c r="F48" i="72"/>
  <c r="F51" i="72" s="1"/>
  <c r="N48" i="65"/>
  <c r="N51" i="65" s="1"/>
  <c r="B48" i="65"/>
  <c r="B51" i="65" s="1"/>
  <c r="J48" i="73"/>
  <c r="J51" i="73" s="1"/>
  <c r="R48" i="65"/>
  <c r="R51" i="65" s="1"/>
  <c r="J48" i="65"/>
  <c r="J51" i="65" s="1"/>
  <c r="N48" i="71"/>
  <c r="N51" i="71" s="1"/>
  <c r="R48" i="71"/>
  <c r="R51" i="71" s="1"/>
  <c r="B48" i="71"/>
  <c r="B51" i="71" s="1"/>
  <c r="F48" i="71"/>
  <c r="F51" i="71" s="1"/>
  <c r="F48" i="73"/>
  <c r="F51" i="73" s="1"/>
  <c r="B48" i="67"/>
  <c r="B51" i="67" s="1"/>
  <c r="F48" i="65"/>
  <c r="F51" i="65" s="1"/>
  <c r="J48" i="67"/>
  <c r="J51" i="67" s="1"/>
  <c r="R48" i="73"/>
  <c r="R51" i="73" s="1"/>
  <c r="N48" i="66"/>
  <c r="N51" i="66" s="1"/>
  <c r="F48" i="66"/>
  <c r="F51" i="66" s="1"/>
  <c r="N48" i="68"/>
  <c r="N51" i="68" s="1"/>
  <c r="F48" i="68"/>
  <c r="F51" i="68" s="1"/>
  <c r="R48" i="68"/>
  <c r="R51" i="68" s="1"/>
  <c r="B48" i="68"/>
  <c r="B51" i="68" s="1"/>
  <c r="N48" i="70"/>
  <c r="N51" i="70" s="1"/>
  <c r="B48" i="70"/>
  <c r="B51" i="70" s="1"/>
  <c r="R48" i="70"/>
  <c r="R51" i="70" s="1"/>
  <c r="B48" i="72"/>
  <c r="B51" i="72" s="1"/>
  <c r="J79" i="65"/>
  <c r="J80" i="65"/>
  <c r="J81" i="65"/>
  <c r="J82" i="65"/>
  <c r="J83" i="65"/>
  <c r="J84" i="65"/>
  <c r="J78" i="65"/>
  <c r="J85" i="65"/>
  <c r="J86" i="65"/>
  <c r="J77" i="65"/>
  <c r="P38" i="65"/>
  <c r="P38" i="72"/>
  <c r="N35" i="72"/>
  <c r="N35" i="69"/>
  <c r="P35" i="70"/>
  <c r="P35" i="73"/>
  <c r="N35" i="65"/>
  <c r="P38" i="67"/>
  <c r="N38" i="72"/>
  <c r="N35" i="70"/>
  <c r="P35" i="68"/>
  <c r="P35" i="65"/>
  <c r="N38" i="73"/>
  <c r="P38" i="70"/>
  <c r="N38" i="68"/>
  <c r="P35" i="72"/>
  <c r="N35" i="73"/>
  <c r="P38" i="68"/>
  <c r="N38" i="65"/>
  <c r="P38" i="73"/>
  <c r="N35" i="68"/>
  <c r="T40" i="52"/>
  <c r="T39" i="52"/>
  <c r="T38" i="52"/>
  <c r="A64" i="52" s="1"/>
  <c r="R40" i="52"/>
  <c r="R39" i="52"/>
  <c r="R38" i="52"/>
  <c r="A63" i="52" s="1"/>
  <c r="P40" i="52"/>
  <c r="P39" i="52"/>
  <c r="P38" i="52"/>
  <c r="A62" i="52" s="1"/>
  <c r="T43" i="52"/>
  <c r="R43" i="52"/>
  <c r="N38" i="52"/>
  <c r="A61" i="52" s="1"/>
  <c r="H38" i="52"/>
  <c r="A58" i="52" s="1"/>
  <c r="F38" i="52"/>
  <c r="A57" i="52" s="1"/>
  <c r="D38" i="52"/>
  <c r="A56" i="52" s="1"/>
  <c r="B38" i="52"/>
  <c r="A55" i="52" s="1"/>
  <c r="J38" i="52"/>
  <c r="A59" i="52" s="1"/>
  <c r="A60" i="52"/>
  <c r="N40" i="52"/>
  <c r="N39" i="52"/>
  <c r="N43" i="52"/>
  <c r="L40" i="52"/>
  <c r="L39" i="52"/>
  <c r="D40" i="52"/>
  <c r="D39" i="52"/>
  <c r="J40" i="52"/>
  <c r="J39" i="52"/>
  <c r="H40" i="52"/>
  <c r="H39" i="52"/>
  <c r="F40" i="52"/>
  <c r="F39" i="52"/>
  <c r="B39" i="52"/>
  <c r="P26" i="56"/>
  <c r="N26" i="56"/>
  <c r="L26" i="56"/>
  <c r="J26" i="56"/>
  <c r="H26" i="56"/>
  <c r="F26" i="56"/>
  <c r="D26" i="56"/>
  <c r="J16" i="56"/>
  <c r="P33" i="56"/>
  <c r="N33" i="56"/>
  <c r="L33" i="56"/>
  <c r="J33" i="56"/>
  <c r="H33" i="56"/>
  <c r="F33" i="56"/>
  <c r="B8" i="56"/>
  <c r="C37" i="55"/>
  <c r="C36" i="55"/>
  <c r="C35" i="55"/>
  <c r="C34" i="55"/>
  <c r="C33" i="55"/>
  <c r="C32" i="55"/>
  <c r="C31" i="55"/>
  <c r="C30" i="55"/>
  <c r="C29" i="55"/>
  <c r="D33" i="56"/>
  <c r="B26" i="56"/>
  <c r="R16" i="56"/>
  <c r="N16" i="56"/>
  <c r="F16" i="56"/>
  <c r="B40" i="52"/>
  <c r="B31" i="52"/>
  <c r="B32" i="52" s="1"/>
  <c r="B16" i="52" a="1"/>
  <c r="B18" i="52" a="1"/>
  <c r="B9" i="56" a="1"/>
  <c r="N81" i="67" a="1"/>
  <c r="N82" i="67" a="1"/>
  <c r="N83" i="67" a="1"/>
  <c r="N84" i="67" a="1"/>
  <c r="N85" i="67" a="1"/>
  <c r="N86" i="67" a="1"/>
  <c r="N77" i="67" a="1"/>
  <c r="N78" i="67" a="1"/>
  <c r="N79" i="67" a="1"/>
  <c r="N80" i="67" a="1"/>
  <c r="N77" i="68" a="1"/>
  <c r="N86" i="68" a="1"/>
  <c r="N85" i="68" a="1"/>
  <c r="N84" i="68" a="1"/>
  <c r="N83" i="68" a="1"/>
  <c r="N82" i="68" a="1"/>
  <c r="N81" i="68" a="1"/>
  <c r="N80" i="68" a="1"/>
  <c r="N79" i="68" a="1"/>
  <c r="N78" i="68" a="1"/>
  <c r="N83" i="70" a="1"/>
  <c r="N82" i="70" a="1"/>
  <c r="N81" i="70" a="1"/>
  <c r="N80" i="70" a="1"/>
  <c r="N79" i="70" a="1"/>
  <c r="N78" i="70" a="1"/>
  <c r="N77" i="70" a="1"/>
  <c r="N86" i="70" a="1"/>
  <c r="N85" i="70" a="1"/>
  <c r="N84" i="70" a="1"/>
  <c r="N85" i="69" a="1"/>
  <c r="N86" i="69" a="1"/>
  <c r="N84" i="69" a="1"/>
  <c r="N83" i="69" a="1"/>
  <c r="N82" i="69" a="1"/>
  <c r="N81" i="69" a="1"/>
  <c r="N80" i="69" a="1"/>
  <c r="N79" i="69" a="1"/>
  <c r="N78" i="69" a="1"/>
  <c r="N77" i="69" a="1"/>
  <c r="N78" i="73" a="1"/>
  <c r="N80" i="73" a="1"/>
  <c r="N79" i="73" a="1"/>
  <c r="N77" i="73" a="1"/>
  <c r="N86" i="73" a="1"/>
  <c r="N85" i="73" a="1"/>
  <c r="N84" i="73" a="1"/>
  <c r="N83" i="73" a="1"/>
  <c r="N82" i="73" a="1"/>
  <c r="N81" i="73" a="1"/>
  <c r="N77" i="72" a="1"/>
  <c r="N86" i="72" a="1"/>
  <c r="N85" i="72" a="1"/>
  <c r="N84" i="72" a="1"/>
  <c r="N83" i="72" a="1"/>
  <c r="N82" i="72" a="1"/>
  <c r="N81" i="72" a="1"/>
  <c r="N80" i="72" a="1"/>
  <c r="N79" i="72" a="1"/>
  <c r="N78" i="72" a="1"/>
  <c r="N79" i="65" a="1"/>
  <c r="N78" i="65" a="1"/>
  <c r="N77" i="65" a="1"/>
  <c r="N86" i="65" a="1"/>
  <c r="N80" i="65" a="1"/>
  <c r="N85" i="65" a="1"/>
  <c r="N84" i="65" a="1"/>
  <c r="N83" i="65" a="1"/>
  <c r="N82" i="65" a="1"/>
  <c r="N81" i="65" a="1"/>
  <c r="B73" i="56" a="1"/>
  <c r="T35" i="56" a="1"/>
  <c r="R35" i="56" a="1"/>
  <c r="R12" i="56" a="1"/>
  <c r="N12" i="56" a="1"/>
  <c r="J12" i="56" a="1"/>
  <c r="F12" i="56" a="1"/>
  <c r="B74" i="56" a="1"/>
  <c r="D38" i="56" a="1"/>
  <c r="B38" i="56" a="1"/>
  <c r="D35" i="56" a="1"/>
  <c r="B35" i="56" a="1"/>
  <c r="B12" i="56" a="1"/>
  <c r="B42" i="56" a="1"/>
  <c r="B41" i="56" a="1"/>
  <c r="B41" i="56" l="1"/>
  <c r="B42" i="56"/>
  <c r="T82" i="66"/>
  <c r="T78" i="66"/>
  <c r="F78" i="52" s="1"/>
  <c r="T84" i="66"/>
  <c r="T83" i="66"/>
  <c r="T79" i="66"/>
  <c r="F79" i="52" s="1"/>
  <c r="T77" i="66"/>
  <c r="F77" i="52" s="1"/>
  <c r="T85" i="66"/>
  <c r="F85" i="52" s="1"/>
  <c r="T86" i="66"/>
  <c r="F86" i="52" s="1"/>
  <c r="T80" i="66"/>
  <c r="F80" i="52" s="1"/>
  <c r="T81" i="66"/>
  <c r="N78" i="72"/>
  <c r="T78" i="72" s="1"/>
  <c r="R78" i="52" s="1"/>
  <c r="N79" i="72"/>
  <c r="T79" i="72" s="1"/>
  <c r="N80" i="72"/>
  <c r="T80" i="72" s="1"/>
  <c r="N81" i="72"/>
  <c r="T81" i="72" s="1"/>
  <c r="N82" i="72"/>
  <c r="T82" i="72" s="1"/>
  <c r="N83" i="72"/>
  <c r="T83" i="72" s="1"/>
  <c r="R83" i="52" s="1"/>
  <c r="N84" i="72"/>
  <c r="T84" i="72" s="1"/>
  <c r="R84" i="52" s="1"/>
  <c r="N85" i="72"/>
  <c r="T85" i="72" s="1"/>
  <c r="N86" i="72"/>
  <c r="T86" i="72" s="1"/>
  <c r="R86" i="52" s="1"/>
  <c r="N77" i="72"/>
  <c r="T77" i="72" s="1"/>
  <c r="N81" i="73"/>
  <c r="T81" i="73" s="1"/>
  <c r="N82" i="73"/>
  <c r="T82" i="73" s="1"/>
  <c r="N83" i="73"/>
  <c r="T83" i="73" s="1"/>
  <c r="N84" i="73"/>
  <c r="T84" i="73" s="1"/>
  <c r="N85" i="73"/>
  <c r="T85" i="73" s="1"/>
  <c r="N86" i="73"/>
  <c r="T86" i="73" s="1"/>
  <c r="N77" i="73"/>
  <c r="T77" i="73" s="1"/>
  <c r="N79" i="73"/>
  <c r="T79" i="73" s="1"/>
  <c r="N80" i="73"/>
  <c r="T80" i="73" s="1"/>
  <c r="N78" i="73"/>
  <c r="T78" i="73" s="1"/>
  <c r="N77" i="69"/>
  <c r="T77" i="69" s="1"/>
  <c r="N78" i="69"/>
  <c r="T78" i="69" s="1"/>
  <c r="L78" i="52" s="1"/>
  <c r="N79" i="69"/>
  <c r="T79" i="69" s="1"/>
  <c r="L79" i="52" s="1"/>
  <c r="N80" i="69"/>
  <c r="T80" i="69" s="1"/>
  <c r="L80" i="52" s="1"/>
  <c r="N81" i="69"/>
  <c r="T81" i="69" s="1"/>
  <c r="L81" i="52" s="1"/>
  <c r="N82" i="69"/>
  <c r="T82" i="69" s="1"/>
  <c r="L82" i="52" s="1"/>
  <c r="N83" i="69"/>
  <c r="T83" i="69" s="1"/>
  <c r="L83" i="52" s="1"/>
  <c r="N84" i="69"/>
  <c r="T84" i="69" s="1"/>
  <c r="N86" i="69"/>
  <c r="T86" i="69" s="1"/>
  <c r="L86" i="52" s="1"/>
  <c r="N85" i="69"/>
  <c r="T85" i="69" s="1"/>
  <c r="N84" i="70"/>
  <c r="T84" i="70" s="1"/>
  <c r="N84" i="52" s="1"/>
  <c r="N85" i="70"/>
  <c r="T85" i="70" s="1"/>
  <c r="N86" i="70"/>
  <c r="T86" i="70" s="1"/>
  <c r="N77" i="70"/>
  <c r="T77" i="70" s="1"/>
  <c r="N78" i="70"/>
  <c r="T78" i="70" s="1"/>
  <c r="N79" i="70"/>
  <c r="T79" i="70" s="1"/>
  <c r="N80" i="70"/>
  <c r="T80" i="70" s="1"/>
  <c r="N81" i="70"/>
  <c r="T81" i="70" s="1"/>
  <c r="N82" i="70"/>
  <c r="T82" i="70" s="1"/>
  <c r="N82" i="52" s="1"/>
  <c r="N83" i="70"/>
  <c r="T83" i="70" s="1"/>
  <c r="N83" i="52" s="1"/>
  <c r="N78" i="68"/>
  <c r="T78" i="68" s="1"/>
  <c r="N79" i="68"/>
  <c r="T79" i="68" s="1"/>
  <c r="N80" i="68"/>
  <c r="T80" i="68" s="1"/>
  <c r="N81" i="68"/>
  <c r="T81" i="68" s="1"/>
  <c r="N82" i="68"/>
  <c r="T82" i="68" s="1"/>
  <c r="N83" i="68"/>
  <c r="T83" i="68" s="1"/>
  <c r="N84" i="68"/>
  <c r="T84" i="68" s="1"/>
  <c r="N85" i="68"/>
  <c r="T85" i="68" s="1"/>
  <c r="N86" i="68"/>
  <c r="T86" i="68" s="1"/>
  <c r="N77" i="68"/>
  <c r="T77" i="68" s="1"/>
  <c r="N80" i="67"/>
  <c r="T80" i="67" s="1"/>
  <c r="N79" i="67"/>
  <c r="T79" i="67" s="1"/>
  <c r="N78" i="67"/>
  <c r="T78" i="67" s="1"/>
  <c r="N77" i="67"/>
  <c r="T77" i="67" s="1"/>
  <c r="N86" i="67"/>
  <c r="T86" i="67" s="1"/>
  <c r="N85" i="67"/>
  <c r="T85" i="67" s="1"/>
  <c r="N84" i="67"/>
  <c r="T84" i="67" s="1"/>
  <c r="N83" i="67"/>
  <c r="T83" i="67" s="1"/>
  <c r="N82" i="67"/>
  <c r="T82" i="67" s="1"/>
  <c r="N81" i="67"/>
  <c r="T81" i="67" s="1"/>
  <c r="B88" i="71"/>
  <c r="B52" i="71" s="1"/>
  <c r="B53" i="71"/>
  <c r="B61" i="71" s="1"/>
  <c r="N81" i="65"/>
  <c r="T81" i="65" s="1"/>
  <c r="N82" i="65"/>
  <c r="T82" i="65" s="1"/>
  <c r="N83" i="65"/>
  <c r="T83" i="65" s="1"/>
  <c r="N84" i="65"/>
  <c r="T84" i="65" s="1"/>
  <c r="N85" i="65"/>
  <c r="T85" i="65" s="1"/>
  <c r="N80" i="65"/>
  <c r="T80" i="65" s="1"/>
  <c r="N86" i="65"/>
  <c r="T86" i="65" s="1"/>
  <c r="N77" i="65"/>
  <c r="T77" i="65" s="1"/>
  <c r="N78" i="65"/>
  <c r="T78" i="65" s="1"/>
  <c r="N79" i="65"/>
  <c r="T79" i="65" s="1"/>
  <c r="B73" i="56"/>
  <c r="P80" i="52"/>
  <c r="P84" i="52"/>
  <c r="P79" i="52"/>
  <c r="P78" i="52"/>
  <c r="P77" i="52"/>
  <c r="F91" i="52"/>
  <c r="P83" i="52"/>
  <c r="P81" i="52"/>
  <c r="P86" i="52"/>
  <c r="P85" i="52"/>
  <c r="P82" i="52"/>
  <c r="B74" i="56"/>
  <c r="B45" i="56"/>
  <c r="D38" i="56"/>
  <c r="B38" i="56"/>
  <c r="R49" i="56"/>
  <c r="B49" i="56"/>
  <c r="N49" i="56"/>
  <c r="J49" i="56"/>
  <c r="F49" i="56"/>
  <c r="B47" i="56"/>
  <c r="T35" i="56"/>
  <c r="B35" i="56"/>
  <c r="D35" i="56"/>
  <c r="R35" i="56"/>
  <c r="B33" i="52"/>
  <c r="B18" i="52"/>
  <c r="B9" i="56"/>
  <c r="F9" i="56" s="1"/>
  <c r="R12" i="56"/>
  <c r="B12" i="56"/>
  <c r="N12" i="56"/>
  <c r="J12" i="56"/>
  <c r="F12" i="56"/>
  <c r="B16" i="52"/>
  <c r="B78" i="56" a="1"/>
  <c r="B77" i="56" a="1"/>
  <c r="F38" i="56" a="1"/>
  <c r="F42" i="56" a="1"/>
  <c r="F41" i="56" a="1"/>
  <c r="B53" i="66" l="1"/>
  <c r="B61" i="66" s="1"/>
  <c r="B88" i="66"/>
  <c r="B52" i="66" s="1"/>
  <c r="F41" i="56"/>
  <c r="F42" i="56"/>
  <c r="B88" i="69"/>
  <c r="B52" i="69" s="1"/>
  <c r="B53" i="69"/>
  <c r="L77" i="52"/>
  <c r="B88" i="67"/>
  <c r="B52" i="67" s="1"/>
  <c r="B53" i="67"/>
  <c r="B61" i="67" s="1"/>
  <c r="B53" i="73"/>
  <c r="B61" i="73" s="1"/>
  <c r="B88" i="73"/>
  <c r="B52" i="73" s="1"/>
  <c r="B88" i="70"/>
  <c r="B52" i="70" s="1"/>
  <c r="B53" i="70"/>
  <c r="B61" i="70" s="1"/>
  <c r="B88" i="68"/>
  <c r="B52" i="68" s="1"/>
  <c r="B53" i="68"/>
  <c r="B61" i="68" s="1"/>
  <c r="B88" i="72"/>
  <c r="B52" i="72" s="1"/>
  <c r="B53" i="72"/>
  <c r="B61" i="72" s="1"/>
  <c r="B88" i="65"/>
  <c r="B52" i="65" s="1"/>
  <c r="B53" i="65"/>
  <c r="B78" i="56"/>
  <c r="D86" i="52"/>
  <c r="F38" i="56"/>
  <c r="H79" i="52"/>
  <c r="F82" i="52"/>
  <c r="F84" i="52"/>
  <c r="J83" i="52"/>
  <c r="F81" i="52"/>
  <c r="B77" i="56"/>
  <c r="L84" i="52"/>
  <c r="H85" i="52"/>
  <c r="L85" i="52"/>
  <c r="F83" i="52"/>
  <c r="H77" i="52"/>
  <c r="H81" i="52"/>
  <c r="H78" i="52"/>
  <c r="H82" i="52"/>
  <c r="H83" i="52"/>
  <c r="H84" i="52"/>
  <c r="H86" i="52"/>
  <c r="H80" i="52"/>
  <c r="R80" i="52"/>
  <c r="R82" i="52"/>
  <c r="R85" i="52"/>
  <c r="T78" i="52"/>
  <c r="N77" i="52"/>
  <c r="N78" i="52"/>
  <c r="N81" i="52"/>
  <c r="N80" i="52"/>
  <c r="R79" i="52"/>
  <c r="N79" i="52"/>
  <c r="R81" i="52"/>
  <c r="N85" i="52"/>
  <c r="N86" i="52"/>
  <c r="R77" i="52"/>
  <c r="T79" i="52"/>
  <c r="D83" i="52"/>
  <c r="T84" i="52"/>
  <c r="T82" i="52"/>
  <c r="T83" i="52"/>
  <c r="T85" i="52"/>
  <c r="T86" i="52"/>
  <c r="T81" i="52"/>
  <c r="T80" i="52"/>
  <c r="T77" i="52"/>
  <c r="D80" i="52"/>
  <c r="D82" i="52"/>
  <c r="D81" i="52"/>
  <c r="D84" i="52"/>
  <c r="D85" i="52"/>
  <c r="D78" i="52"/>
  <c r="D79" i="52"/>
  <c r="J82" i="52"/>
  <c r="J81" i="52"/>
  <c r="J77" i="52"/>
  <c r="J78" i="52"/>
  <c r="J80" i="52"/>
  <c r="J79" i="52"/>
  <c r="J84" i="52"/>
  <c r="J86" i="52"/>
  <c r="J85" i="52"/>
  <c r="H43" i="52"/>
  <c r="F43" i="52"/>
  <c r="L43" i="52"/>
  <c r="J9" i="56"/>
  <c r="N50" i="56"/>
  <c r="R50" i="56"/>
  <c r="J50" i="56"/>
  <c r="B50" i="56"/>
  <c r="F50" i="56"/>
  <c r="P43" i="52"/>
  <c r="F55" i="56"/>
  <c r="B60" i="56"/>
  <c r="B43" i="52" s="1"/>
  <c r="R55" i="56"/>
  <c r="N55" i="56"/>
  <c r="B55" i="56"/>
  <c r="J55" i="56"/>
  <c r="R39" i="71" a="1"/>
  <c r="T39" i="71" a="1"/>
  <c r="P39" i="71" a="1"/>
  <c r="N39" i="71" a="1"/>
  <c r="J39" i="71" a="1"/>
  <c r="L39" i="71" a="1"/>
  <c r="H39" i="71" a="1"/>
  <c r="F39" i="71" a="1"/>
  <c r="D39" i="71" a="1"/>
  <c r="B39" i="71" a="1"/>
  <c r="R39" i="69" a="1"/>
  <c r="T39" i="69" a="1"/>
  <c r="N39" i="69" a="1"/>
  <c r="P39" i="69" a="1"/>
  <c r="T39" i="66" a="1"/>
  <c r="R39" i="66" a="1"/>
  <c r="P39" i="66" a="1"/>
  <c r="N39" i="66" a="1"/>
  <c r="L39" i="66" a="1"/>
  <c r="J39" i="66" a="1"/>
  <c r="F39" i="66" a="1"/>
  <c r="H39" i="66" a="1"/>
  <c r="D39" i="66" a="1"/>
  <c r="B39" i="66" a="1"/>
  <c r="J73" i="56" a="1"/>
  <c r="F39" i="69" a="1"/>
  <c r="H39" i="69" a="1"/>
  <c r="J39" i="69" a="1"/>
  <c r="L39" i="69" a="1"/>
  <c r="D39" i="69" a="1"/>
  <c r="B39" i="69" a="1"/>
  <c r="B80" i="56" a="1"/>
  <c r="B83" i="56" a="1"/>
  <c r="B81" i="56" a="1"/>
  <c r="B86" i="56" a="1"/>
  <c r="B84" i="56" a="1"/>
  <c r="B82" i="56" a="1"/>
  <c r="B79" i="56" a="1"/>
  <c r="B85" i="56" a="1"/>
  <c r="J42" i="56" a="1"/>
  <c r="J41" i="56" a="1"/>
  <c r="J73" i="56" l="1"/>
  <c r="J57" i="69"/>
  <c r="F57" i="69"/>
  <c r="B61" i="69"/>
  <c r="B57" i="69"/>
  <c r="J41" i="56"/>
  <c r="J42" i="56"/>
  <c r="F57" i="65"/>
  <c r="B57" i="65"/>
  <c r="B61" i="65"/>
  <c r="B82" i="56"/>
  <c r="B84" i="56"/>
  <c r="B83" i="56"/>
  <c r="B80" i="56"/>
  <c r="B86" i="56"/>
  <c r="B85" i="56"/>
  <c r="B81" i="56"/>
  <c r="B79" i="56"/>
  <c r="D77" i="52"/>
  <c r="F39" i="71"/>
  <c r="R39" i="71"/>
  <c r="P39" i="71"/>
  <c r="H39" i="71"/>
  <c r="T39" i="71"/>
  <c r="J39" i="71"/>
  <c r="L39" i="71"/>
  <c r="D39" i="71"/>
  <c r="B39" i="71"/>
  <c r="N39" i="71"/>
  <c r="N39" i="69"/>
  <c r="B39" i="69"/>
  <c r="L39" i="69"/>
  <c r="J39" i="69"/>
  <c r="T39" i="69"/>
  <c r="H39" i="69"/>
  <c r="P39" i="69"/>
  <c r="R39" i="69"/>
  <c r="F39" i="69"/>
  <c r="D39" i="69"/>
  <c r="N39" i="66"/>
  <c r="B39" i="66"/>
  <c r="D39" i="66"/>
  <c r="L39" i="66"/>
  <c r="J39" i="66"/>
  <c r="T39" i="66"/>
  <c r="H39" i="66"/>
  <c r="F39" i="66"/>
  <c r="R39" i="66"/>
  <c r="P39" i="66"/>
  <c r="N9" i="56"/>
  <c r="F45" i="56"/>
  <c r="J43" i="52"/>
  <c r="D43" i="52"/>
  <c r="B45" i="52"/>
  <c r="H39" i="73" a="1"/>
  <c r="F39" i="73" a="1"/>
  <c r="J39" i="73" a="1"/>
  <c r="L39" i="73" a="1"/>
  <c r="P39" i="73" a="1"/>
  <c r="N39" i="73" a="1"/>
  <c r="R39" i="73" a="1"/>
  <c r="T39" i="73" a="1"/>
  <c r="D39" i="72" a="1"/>
  <c r="B39" i="72" a="1"/>
  <c r="F39" i="72" a="1"/>
  <c r="H39" i="72" a="1"/>
  <c r="L39" i="72" a="1"/>
  <c r="J39" i="72" a="1"/>
  <c r="N39" i="72" a="1"/>
  <c r="P39" i="72" a="1"/>
  <c r="R39" i="72" a="1"/>
  <c r="T39" i="72" a="1"/>
  <c r="B39" i="70" a="1"/>
  <c r="D39" i="70" a="1"/>
  <c r="H39" i="70" a="1"/>
  <c r="F39" i="70" a="1"/>
  <c r="L39" i="70" a="1"/>
  <c r="J39" i="70" a="1"/>
  <c r="P39" i="70" a="1"/>
  <c r="N39" i="70" a="1"/>
  <c r="T39" i="70" a="1"/>
  <c r="R39" i="70" a="1"/>
  <c r="H39" i="68" a="1"/>
  <c r="F39" i="68" a="1"/>
  <c r="L39" i="68" a="1"/>
  <c r="J39" i="68" a="1"/>
  <c r="N39" i="68" a="1"/>
  <c r="P39" i="68" a="1"/>
  <c r="T39" i="68" a="1"/>
  <c r="R39" i="68" a="1"/>
  <c r="D39" i="68" a="1"/>
  <c r="B39" i="68" a="1"/>
  <c r="J39" i="65" a="1"/>
  <c r="L39" i="65" a="1"/>
  <c r="N39" i="65" a="1"/>
  <c r="P39" i="65" a="1"/>
  <c r="R39" i="65" a="1"/>
  <c r="T39" i="65" a="1"/>
  <c r="D39" i="73" a="1"/>
  <c r="B39" i="73" a="1"/>
  <c r="R39" i="67" a="1"/>
  <c r="P39" i="67" a="1"/>
  <c r="T39" i="67" a="1"/>
  <c r="L39" i="67" a="1"/>
  <c r="D39" i="67" a="1"/>
  <c r="H39" i="67" a="1"/>
  <c r="J39" i="67" a="1"/>
  <c r="B39" i="67" a="1"/>
  <c r="N39" i="67" a="1"/>
  <c r="F39" i="67" a="1"/>
  <c r="F39" i="65" a="1"/>
  <c r="H39" i="65" a="1"/>
  <c r="B39" i="65" a="1"/>
  <c r="D39" i="65" a="1"/>
  <c r="P38" i="56" a="1"/>
  <c r="N74" i="56" a="1"/>
  <c r="J74" i="56" a="1"/>
  <c r="L38" i="56" a="1"/>
  <c r="J38" i="56" a="1"/>
  <c r="N41" i="56" a="1"/>
  <c r="N42" i="56" a="1"/>
  <c r="B56" i="71" l="1"/>
  <c r="B58" i="71" s="1"/>
  <c r="J56" i="66"/>
  <c r="J58" i="66" s="1"/>
  <c r="N56" i="66"/>
  <c r="N58" i="66" s="1"/>
  <c r="R56" i="71"/>
  <c r="R58" i="71" s="1"/>
  <c r="J56" i="69"/>
  <c r="J58" i="69" s="1"/>
  <c r="B56" i="69"/>
  <c r="B58" i="69" s="1"/>
  <c r="N42" i="56"/>
  <c r="N41" i="56"/>
  <c r="F56" i="71"/>
  <c r="F58" i="71" s="1"/>
  <c r="N56" i="69"/>
  <c r="N58" i="69" s="1"/>
  <c r="F56" i="69"/>
  <c r="F58" i="69" s="1"/>
  <c r="J56" i="71"/>
  <c r="J58" i="71" s="1"/>
  <c r="B56" i="66"/>
  <c r="B58" i="66" s="1"/>
  <c r="N56" i="71"/>
  <c r="N58" i="71" s="1"/>
  <c r="R56" i="69"/>
  <c r="R58" i="69" s="1"/>
  <c r="R56" i="66"/>
  <c r="R58" i="66" s="1"/>
  <c r="F56" i="66"/>
  <c r="F58" i="66" s="1"/>
  <c r="D39" i="65"/>
  <c r="B39" i="65"/>
  <c r="J38" i="56"/>
  <c r="N39" i="67"/>
  <c r="P39" i="67"/>
  <c r="R39" i="67"/>
  <c r="T39" i="67"/>
  <c r="J39" i="67"/>
  <c r="L39" i="67"/>
  <c r="H39" i="67"/>
  <c r="F39" i="67"/>
  <c r="D39" i="67"/>
  <c r="B39" i="67"/>
  <c r="T39" i="73"/>
  <c r="R39" i="73"/>
  <c r="N39" i="73"/>
  <c r="P39" i="73"/>
  <c r="L39" i="73"/>
  <c r="J39" i="73"/>
  <c r="F39" i="73"/>
  <c r="H39" i="73"/>
  <c r="B39" i="73"/>
  <c r="D39" i="73"/>
  <c r="T39" i="72"/>
  <c r="R39" i="72"/>
  <c r="P39" i="72"/>
  <c r="N39" i="72"/>
  <c r="J39" i="72"/>
  <c r="L39" i="72"/>
  <c r="H39" i="72"/>
  <c r="F39" i="72"/>
  <c r="B39" i="72"/>
  <c r="D39" i="72"/>
  <c r="R39" i="70"/>
  <c r="T39" i="70"/>
  <c r="N39" i="70"/>
  <c r="P39" i="70"/>
  <c r="J39" i="70"/>
  <c r="L39" i="70"/>
  <c r="F39" i="70"/>
  <c r="H39" i="70"/>
  <c r="D39" i="70"/>
  <c r="B39" i="70"/>
  <c r="P39" i="68"/>
  <c r="N39" i="68"/>
  <c r="J39" i="68"/>
  <c r="L39" i="68"/>
  <c r="F39" i="68"/>
  <c r="H39" i="68"/>
  <c r="T39" i="65"/>
  <c r="R39" i="65"/>
  <c r="P39" i="65"/>
  <c r="N39" i="65"/>
  <c r="L39" i="65"/>
  <c r="J39" i="65"/>
  <c r="H39" i="65"/>
  <c r="F39" i="65"/>
  <c r="L38" i="56"/>
  <c r="R39" i="68"/>
  <c r="T39" i="68"/>
  <c r="J74" i="56"/>
  <c r="B39" i="68"/>
  <c r="D39" i="68"/>
  <c r="N74" i="56"/>
  <c r="P38" i="56"/>
  <c r="N38" i="56" a="1"/>
  <c r="B56" i="65" l="1"/>
  <c r="B58" i="65" s="1"/>
  <c r="R56" i="65"/>
  <c r="R58" i="65" s="1"/>
  <c r="B56" i="72"/>
  <c r="B58" i="72" s="1"/>
  <c r="J56" i="67"/>
  <c r="J58" i="67" s="1"/>
  <c r="R56" i="73"/>
  <c r="R58" i="73" s="1"/>
  <c r="N56" i="65"/>
  <c r="N58" i="65" s="1"/>
  <c r="F56" i="67"/>
  <c r="F58" i="67" s="1"/>
  <c r="F56" i="73"/>
  <c r="F58" i="73" s="1"/>
  <c r="N56" i="72"/>
  <c r="N58" i="72" s="1"/>
  <c r="N56" i="70"/>
  <c r="N58" i="70" s="1"/>
  <c r="R56" i="67"/>
  <c r="R58" i="67" s="1"/>
  <c r="J56" i="72"/>
  <c r="J58" i="72" s="1"/>
  <c r="R56" i="72"/>
  <c r="R58" i="72" s="1"/>
  <c r="B63" i="69"/>
  <c r="B64" i="69" s="1"/>
  <c r="B63" i="71"/>
  <c r="B64" i="71" s="1"/>
  <c r="J56" i="65"/>
  <c r="J58" i="65" s="1"/>
  <c r="F56" i="65"/>
  <c r="F58" i="65" s="1"/>
  <c r="N56" i="73"/>
  <c r="N58" i="73" s="1"/>
  <c r="N56" i="67"/>
  <c r="N58" i="67" s="1"/>
  <c r="B56" i="68"/>
  <c r="B58" i="68" s="1"/>
  <c r="B56" i="67"/>
  <c r="B58" i="67" s="1"/>
  <c r="F56" i="70"/>
  <c r="F58" i="70" s="1"/>
  <c r="R56" i="70"/>
  <c r="R58" i="70" s="1"/>
  <c r="B56" i="73"/>
  <c r="B58" i="73" s="1"/>
  <c r="N56" i="68"/>
  <c r="N58" i="68" s="1"/>
  <c r="F56" i="68"/>
  <c r="F58" i="68" s="1"/>
  <c r="J56" i="70"/>
  <c r="J58" i="70" s="1"/>
  <c r="R56" i="68"/>
  <c r="R58" i="68" s="1"/>
  <c r="J56" i="68"/>
  <c r="J58" i="68" s="1"/>
  <c r="B56" i="70"/>
  <c r="B58" i="70" s="1"/>
  <c r="F56" i="72"/>
  <c r="F58" i="72" s="1"/>
  <c r="J56" i="73"/>
  <c r="J58" i="73" s="1"/>
  <c r="B63" i="66"/>
  <c r="B64" i="66" s="1"/>
  <c r="N38" i="56"/>
  <c r="H45" i="52"/>
  <c r="T45" i="52"/>
  <c r="F45" i="52"/>
  <c r="D45" i="52"/>
  <c r="N45" i="52"/>
  <c r="R45" i="52"/>
  <c r="P45" i="52"/>
  <c r="L45" i="52"/>
  <c r="B63" i="67" l="1"/>
  <c r="B64" i="67" s="1"/>
  <c r="B63" i="72"/>
  <c r="B64" i="72" s="1"/>
  <c r="B63" i="73"/>
  <c r="B64" i="73" s="1"/>
  <c r="B63" i="65"/>
  <c r="B64" i="65" s="1"/>
  <c r="B63" i="68"/>
  <c r="B64" i="68" s="1"/>
  <c r="B63" i="70"/>
  <c r="B64" i="70" s="1"/>
  <c r="J46" i="52"/>
  <c r="R46" i="52"/>
  <c r="H46" i="52"/>
  <c r="P46" i="52"/>
  <c r="T46" i="52"/>
  <c r="L46" i="52"/>
  <c r="N46" i="52"/>
  <c r="J45" i="52" l="1"/>
  <c r="R42" i="52"/>
  <c r="P42" i="52"/>
  <c r="H42" i="52"/>
  <c r="J42" i="52"/>
  <c r="F42" i="52"/>
  <c r="T42" i="52"/>
  <c r="L42" i="52" l="1"/>
  <c r="N42" i="52"/>
  <c r="D42" i="52"/>
  <c r="F46" i="52" l="1"/>
  <c r="D46" i="52"/>
  <c r="J45" i="56" l="1"/>
  <c r="N45" i="56" l="1"/>
  <c r="J35" i="56" a="1"/>
  <c r="N46" i="56" l="1"/>
  <c r="F46" i="56"/>
  <c r="R46" i="56"/>
  <c r="J46" i="56"/>
  <c r="B46" i="56"/>
  <c r="J35" i="56"/>
  <c r="N35" i="56" a="1"/>
  <c r="P35" i="56" a="1"/>
  <c r="L35" i="56" a="1"/>
  <c r="L35" i="56" l="1"/>
  <c r="N35" i="56"/>
  <c r="P35" i="56"/>
  <c r="N85" i="56" a="1"/>
  <c r="N81" i="56" a="1"/>
  <c r="N83" i="56" a="1"/>
  <c r="N80" i="56" a="1"/>
  <c r="N82" i="56" a="1"/>
  <c r="N86" i="56" a="1"/>
  <c r="N79" i="56" a="1"/>
  <c r="N84" i="56" a="1"/>
  <c r="N78" i="56" a="1"/>
  <c r="J80" i="56" a="1"/>
  <c r="J86" i="56" a="1"/>
  <c r="J78" i="56" a="1"/>
  <c r="J85" i="56" a="1"/>
  <c r="J81" i="56" a="1"/>
  <c r="J82" i="56" a="1"/>
  <c r="J84" i="56" a="1"/>
  <c r="J79" i="56" a="1"/>
  <c r="J83" i="56" a="1"/>
  <c r="N77" i="56" a="1"/>
  <c r="J77" i="56" a="1"/>
  <c r="N78" i="56" l="1"/>
  <c r="N84" i="56"/>
  <c r="N79" i="56"/>
  <c r="N86" i="56"/>
  <c r="N82" i="56"/>
  <c r="N80" i="56"/>
  <c r="N83" i="56"/>
  <c r="N81" i="56"/>
  <c r="N85" i="56"/>
  <c r="J83" i="56"/>
  <c r="J79" i="56"/>
  <c r="J84" i="56"/>
  <c r="J82" i="56"/>
  <c r="J81" i="56"/>
  <c r="J85" i="56"/>
  <c r="J78" i="56"/>
  <c r="J86" i="56"/>
  <c r="J80" i="56"/>
  <c r="N77" i="56"/>
  <c r="J77" i="56"/>
  <c r="J47" i="56"/>
  <c r="N47" i="56"/>
  <c r="T47" i="52" l="1"/>
  <c r="R44" i="52"/>
  <c r="R47" i="52"/>
  <c r="N44" i="52"/>
  <c r="P44" i="52"/>
  <c r="P47" i="52"/>
  <c r="N47" i="52"/>
  <c r="J44" i="52"/>
  <c r="L44" i="52"/>
  <c r="L47" i="52"/>
  <c r="J47" i="52"/>
  <c r="H44" i="52"/>
  <c r="H47" i="52"/>
  <c r="D47" i="52"/>
  <c r="F47" i="52"/>
  <c r="B41" i="55"/>
  <c r="T44" i="52" l="1"/>
  <c r="T49" i="52" s="1"/>
  <c r="T51" i="52" s="1"/>
  <c r="D64" i="52" s="1"/>
  <c r="F64" i="52" s="1"/>
  <c r="R49" i="52"/>
  <c r="R51" i="52" s="1"/>
  <c r="B63" i="52" s="1"/>
  <c r="L49" i="52"/>
  <c r="L51" i="52" s="1"/>
  <c r="B60" i="52" s="1"/>
  <c r="H49" i="52"/>
  <c r="H51" i="52" s="1"/>
  <c r="B58" i="52" s="1"/>
  <c r="N49" i="52"/>
  <c r="N51" i="52" s="1"/>
  <c r="B61" i="52" s="1"/>
  <c r="P49" i="52"/>
  <c r="P51" i="52" s="1"/>
  <c r="B62" i="52" s="1"/>
  <c r="J49" i="52"/>
  <c r="J51" i="52" s="1"/>
  <c r="D59" i="52" s="1"/>
  <c r="F59" i="52" s="1"/>
  <c r="F44" i="52"/>
  <c r="F49" i="52" s="1"/>
  <c r="F51" i="52" s="1"/>
  <c r="D57" i="52" s="1"/>
  <c r="F57" i="52" s="1"/>
  <c r="D44" i="52"/>
  <c r="D49" i="52" s="1"/>
  <c r="D51" i="52" s="1"/>
  <c r="B56" i="52" s="1"/>
  <c r="B64" i="52" l="1"/>
  <c r="D63" i="52"/>
  <c r="F63" i="52" s="1"/>
  <c r="D60" i="52"/>
  <c r="F60" i="52" s="1"/>
  <c r="D58" i="52"/>
  <c r="F58" i="52" s="1"/>
  <c r="D61" i="52"/>
  <c r="F61" i="52" s="1"/>
  <c r="D62" i="52"/>
  <c r="F62" i="52" s="1"/>
  <c r="B59" i="52"/>
  <c r="B57" i="52"/>
  <c r="D56" i="52"/>
  <c r="F56" i="52" s="1"/>
  <c r="F35" i="56" a="1"/>
  <c r="H35" i="56" a="1"/>
  <c r="F35" i="56" l="1"/>
  <c r="H35" i="56"/>
  <c r="H38" i="56" a="1"/>
  <c r="H38" i="56" l="1"/>
  <c r="F78" i="56" a="1"/>
  <c r="F84" i="56" a="1"/>
  <c r="F79" i="56" a="1"/>
  <c r="F85" i="56" a="1"/>
  <c r="F86" i="56" a="1"/>
  <c r="F83" i="56" a="1"/>
  <c r="F80" i="56" a="1"/>
  <c r="F81" i="56" a="1"/>
  <c r="F82" i="56" a="1"/>
  <c r="F77" i="56" a="1"/>
  <c r="F82" i="56" l="1"/>
  <c r="T82" i="56" s="1"/>
  <c r="B82" i="52" s="1"/>
  <c r="V82" i="52" s="1"/>
  <c r="F81" i="56"/>
  <c r="T81" i="56" s="1"/>
  <c r="B81" i="52" s="1"/>
  <c r="V81" i="52" s="1"/>
  <c r="F80" i="56"/>
  <c r="T80" i="56" s="1"/>
  <c r="B80" i="52" s="1"/>
  <c r="V80" i="52" s="1"/>
  <c r="F83" i="56"/>
  <c r="T83" i="56" s="1"/>
  <c r="B83" i="52" s="1"/>
  <c r="V83" i="52" s="1"/>
  <c r="F86" i="56"/>
  <c r="T86" i="56" s="1"/>
  <c r="B86" i="52" s="1"/>
  <c r="V86" i="52" s="1"/>
  <c r="F85" i="56"/>
  <c r="T85" i="56" s="1"/>
  <c r="B85" i="52" s="1"/>
  <c r="V85" i="52" s="1"/>
  <c r="F79" i="56"/>
  <c r="T79" i="56" s="1"/>
  <c r="B79" i="52" s="1"/>
  <c r="V79" i="52" s="1"/>
  <c r="F84" i="56"/>
  <c r="T84" i="56" s="1"/>
  <c r="B84" i="52" s="1"/>
  <c r="V84" i="52" s="1"/>
  <c r="F78" i="56"/>
  <c r="T78" i="56" s="1"/>
  <c r="F77" i="56"/>
  <c r="T77" i="56" s="1"/>
  <c r="B78" i="52" l="1"/>
  <c r="V78" i="52" s="1"/>
  <c r="B53" i="56"/>
  <c r="B77" i="52"/>
  <c r="V77" i="52" s="1"/>
  <c r="B88" i="56"/>
  <c r="B52" i="56" s="1"/>
  <c r="F47" i="56"/>
  <c r="F48" i="56" s="1"/>
  <c r="F51" i="56" s="1"/>
  <c r="R39" i="56" a="1"/>
  <c r="T39" i="56" a="1"/>
  <c r="P39" i="56" a="1"/>
  <c r="N39" i="56" a="1"/>
  <c r="L39" i="56" a="1"/>
  <c r="J39" i="56" a="1"/>
  <c r="B39" i="56" a="1"/>
  <c r="H39" i="56" a="1"/>
  <c r="D39" i="56" a="1"/>
  <c r="F39" i="56" a="1"/>
  <c r="D39" i="56" l="1"/>
  <c r="B39" i="56"/>
  <c r="F39" i="56"/>
  <c r="H39" i="56"/>
  <c r="B89" i="52"/>
  <c r="B90" i="52"/>
  <c r="R39" i="56"/>
  <c r="T39" i="56"/>
  <c r="N39" i="56"/>
  <c r="P39" i="56"/>
  <c r="J39" i="56"/>
  <c r="L39" i="56"/>
  <c r="R57" i="56"/>
  <c r="N48" i="56"/>
  <c r="N51" i="56" s="1"/>
  <c r="R48" i="56"/>
  <c r="R51" i="56" s="1"/>
  <c r="J48" i="56"/>
  <c r="J51" i="56" s="1"/>
  <c r="B48" i="56"/>
  <c r="B51" i="56" s="1"/>
  <c r="F74" i="56" a="1"/>
  <c r="F56" i="56" l="1"/>
  <c r="R56" i="56"/>
  <c r="R58" i="56" s="1"/>
  <c r="N56" i="56"/>
  <c r="J57" i="56"/>
  <c r="N57" i="56"/>
  <c r="J56" i="56"/>
  <c r="B56" i="56"/>
  <c r="B57" i="56"/>
  <c r="B42" i="52"/>
  <c r="F57" i="56"/>
  <c r="B61" i="56"/>
  <c r="B44" i="52" s="1"/>
  <c r="F74" i="56"/>
  <c r="B46" i="52" l="1"/>
  <c r="N58" i="56"/>
  <c r="J58" i="56"/>
  <c r="B47" i="52"/>
  <c r="B58" i="56"/>
  <c r="F58" i="56"/>
  <c r="B68" i="52" l="1"/>
  <c r="F68" i="52" s="1"/>
  <c r="B49" i="52"/>
  <c r="B51" i="52" s="1"/>
  <c r="B55" i="52" s="1"/>
  <c r="B91" i="52"/>
  <c r="H91" i="52" s="1"/>
  <c r="B63" i="56"/>
  <c r="B64" i="56" s="1"/>
  <c r="D55" i="52" l="1"/>
  <c r="F55" i="5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Wim Struijs</author>
  </authors>
  <commentList>
    <comment ref="A17" authorId="0" shapeId="0" xr:uid="{1117DE5F-AD70-458E-97E4-EFD2E32159CD}">
      <text>
        <r>
          <rPr>
            <sz val="9"/>
            <color indexed="81"/>
            <rFont val="Tahoma"/>
            <family val="2"/>
          </rPr>
          <t>Er is een koppeling gemaakt in de rekenbladen met de voorzijde van de woning.
Bij het aanpassen van deze orientatie wordt ook de orientatie in de volgende tabbladen aangepast.</t>
        </r>
      </text>
    </comment>
    <comment ref="A30" authorId="0" shapeId="0" xr:uid="{443784D9-EEC9-484F-BCAD-573951EE771E}">
      <text>
        <r>
          <rPr>
            <sz val="9"/>
            <color indexed="81"/>
            <rFont val="Tahoma"/>
            <family val="2"/>
          </rPr>
          <t>Berekening wordt gemaakt per woonfunctie, is altijd 1</t>
        </r>
      </text>
    </comment>
    <comment ref="A39" authorId="0" shapeId="0" xr:uid="{167F6CB3-698D-47A9-9E39-AEF9F86BDC5A}">
      <text>
        <r>
          <rPr>
            <sz val="9"/>
            <color indexed="81"/>
            <rFont val="Tahoma"/>
            <family val="2"/>
          </rPr>
          <t>Een woonvertrek is bijvoorbeeld de woonkamer, keuken en eetkamer (ruimten waar bewoners smanekomen)
Een andere verblijfsruimte is bijvoorbeeld een slaapkamer, studeerkamer (ruimten waar bewoners doorgaans alleen zijn)
De interne warmtelast in een woonvertrek is 2x zo hoog aangenomen dan in andere verblijfsruimten.</t>
        </r>
      </text>
    </comment>
    <comment ref="A50" authorId="0" shapeId="0" xr:uid="{AB9D4F30-26D1-44AD-96DE-A796D4EC4615}">
      <text>
        <r>
          <rPr>
            <b/>
            <sz val="9"/>
            <color indexed="81"/>
            <rFont val="Tahoma"/>
            <family val="2"/>
          </rPr>
          <t xml:space="preserve">Toelichting: </t>
        </r>
        <r>
          <rPr>
            <sz val="9"/>
            <color indexed="81"/>
            <rFont val="Tahoma"/>
            <family val="2"/>
          </rPr>
          <t xml:space="preserve">
De waarde van 35W/m² komt overeen met een situatie waarin net voldaan wordt aan het criterium Tojuli ≤1,2 of een beoordeling aan het criterium GTO &lt; 450 uur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Wim Struijs</author>
  </authors>
  <commentList>
    <comment ref="A4" authorId="0" shapeId="0" xr:uid="{EFDC03F1-A052-4DBF-82BD-6153A3C523C9}">
      <text>
        <r>
          <rPr>
            <sz val="9"/>
            <color indexed="81"/>
            <rFont val="Tahoma"/>
            <family val="2"/>
          </rPr>
          <t>Een woonvertrek is bijvoorbeeld de woonkamer, keuken en eetkamer (ruimten waar bewoners samenkomen)
Een andere verblijfsruimte is bijvoorbeeld een slaapkamer, studeerkamer (ruimten waar bewoners doorgaans alleen zijn)
De interne warmtelast in een woonvertrek is 2x zo hoog aangenomen dan in andere verblijfsruimten.</t>
        </r>
      </text>
    </comment>
    <comment ref="A18" authorId="0" shapeId="0" xr:uid="{3E3DFB33-B8BE-4073-BD39-D3140D039AFC}">
      <text>
        <r>
          <rPr>
            <sz val="9"/>
            <color indexed="81"/>
            <rFont val="Tahoma"/>
            <family val="2"/>
          </rPr>
          <t>voer hier de som van het raamoppervlak (glas+kozijn) in per type raam (gelijke U- en GGL-waarde).
 Per gevel kunnen 2 type ramen worden ingevoerd.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Wim Struijs</author>
  </authors>
  <commentList>
    <comment ref="A4" authorId="0" shapeId="0" xr:uid="{01778DD2-6991-4FA3-AB9A-D0557ADFCBE3}">
      <text>
        <r>
          <rPr>
            <sz val="9"/>
            <color indexed="81"/>
            <rFont val="Tahoma"/>
            <family val="2"/>
          </rPr>
          <t>Een woonvertrek is bijvoorbeeld de woonkamer, keuken en eetkamer (ruimten waar bewoners samenkomen)
Een andere verblijfsruimte is bijvoorbeeld een slaapkamer, studeerkamer (ruimten waar bewoners doorgaans alleen zijn)
De interne warmtelast in een woonvertrek is 2x zo hoog aangenomen dan in andere verblijfsruimten.</t>
        </r>
      </text>
    </comment>
    <comment ref="A18" authorId="0" shapeId="0" xr:uid="{51188B08-AF32-48FE-AA41-04D01BA08A9E}">
      <text>
        <r>
          <rPr>
            <sz val="9"/>
            <color indexed="81"/>
            <rFont val="Tahoma"/>
            <family val="2"/>
          </rPr>
          <t>voer hier de som van het raamoppervlak (glas+kozijn) in per type raam (gelijke U- en GGL-waarde).
 Per gevel kunnen 2 type ramen worden ingevoerd.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Wim Struijs</author>
  </authors>
  <commentList>
    <comment ref="A4" authorId="0" shapeId="0" xr:uid="{C4D079F6-07FC-4F80-99A1-0190B7CE784F}">
      <text>
        <r>
          <rPr>
            <sz val="9"/>
            <color indexed="81"/>
            <rFont val="Tahoma"/>
            <family val="2"/>
          </rPr>
          <t>Een woonvertrek is bijvoorbeeld de woonkamer, keuken en eetkamer (ruimten waar bewoners samenkomen)
Een andere verblijfsruimte is bijvoorbeeld een slaapkamer, studeerkamer (ruimten waar bewoners doorgaans alleen zijn)
De interne warmtelast in een woonvertrek is 2x zo hoog aangenomen dan in andere verblijfsruimten.</t>
        </r>
      </text>
    </comment>
    <comment ref="A18" authorId="0" shapeId="0" xr:uid="{8820CEAA-2526-48A2-B193-BE1C4962C79E}">
      <text>
        <r>
          <rPr>
            <sz val="9"/>
            <color indexed="81"/>
            <rFont val="Tahoma"/>
            <family val="2"/>
          </rPr>
          <t>voer hier de som van het raamoppervlak (glas+kozijn) in per type raam (gelijke U- en GGL-waarde).
 Per gevel kunnen 2 type ramen worden ingevoerd.</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Wim Struijs</author>
  </authors>
  <commentList>
    <comment ref="A4" authorId="0" shapeId="0" xr:uid="{C988A6BA-99A1-4254-81FE-6236DC142F3E}">
      <text>
        <r>
          <rPr>
            <sz val="9"/>
            <color indexed="81"/>
            <rFont val="Tahoma"/>
            <family val="2"/>
          </rPr>
          <t>Een woonvertrek is bijvoorbeeld de woonkamer, keuken en eetkamer (ruimten waar bewoners samenkomen)
Een andere verblijfsruimte is bijvoorbeeld een slaapkamer, studeerkamer (ruimten waar bewoners doorgaans alleen zijn)
De interne warmtelast in een woonvertrek is 2x zo hoog aangenomen dan in andere verblijfsruimten.</t>
        </r>
      </text>
    </comment>
    <comment ref="A18" authorId="0" shapeId="0" xr:uid="{73AE4733-DB7D-4CD3-9465-CB1312401A85}">
      <text>
        <r>
          <rPr>
            <sz val="9"/>
            <color indexed="81"/>
            <rFont val="Tahoma"/>
            <family val="2"/>
          </rPr>
          <t>voer hier de som van het raamoppervlak (glas+kozijn) in per type raam (gelijke U- en GGL-waarde).
 Per gevel kunnen 2 type ramen worden ingevoerd.</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Wim Struijs</author>
  </authors>
  <commentList>
    <comment ref="A4" authorId="0" shapeId="0" xr:uid="{3D63FF7A-77C4-4576-A61A-953367833A41}">
      <text>
        <r>
          <rPr>
            <sz val="9"/>
            <color indexed="81"/>
            <rFont val="Tahoma"/>
            <family val="2"/>
          </rPr>
          <t>Een woonvertrek is bijvoorbeeld de woonkamer, keuken en eetkamer (ruimten waar bewoners samenkomen)
Een andere verblijfsruimte is bijvoorbeeld een slaapkamer, studeerkamer (ruimten waar bewoners doorgaans alleen zijn)
De interne warmtelast in een woonvertrek is 2x zo hoog aangenomen dan in andere verblijfsruimten.</t>
        </r>
      </text>
    </comment>
    <comment ref="A18" authorId="0" shapeId="0" xr:uid="{72DB65C1-EB1B-46A2-BB27-380F5B2962E3}">
      <text>
        <r>
          <rPr>
            <sz val="9"/>
            <color indexed="81"/>
            <rFont val="Tahoma"/>
            <family val="2"/>
          </rPr>
          <t>voer hier de som van het raamoppervlak (glas+kozijn) in per type raam (gelijke U- en GGL-waarde).
 Per gevel kunnen 2 type ramen worden ingevoerd.</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Wim Struijs</author>
  </authors>
  <commentList>
    <comment ref="A4" authorId="0" shapeId="0" xr:uid="{E97E05CD-E6EE-4C22-A547-607EA7BADE46}">
      <text>
        <r>
          <rPr>
            <sz val="9"/>
            <color indexed="81"/>
            <rFont val="Tahoma"/>
            <family val="2"/>
          </rPr>
          <t>Een woonvertrek is bijvoorbeeld de woonkamer, keuken en eetkamer (ruimten waar bewoners samenkomen)
Een andere verblijfsruimte is bijvoorbeeld een slaapkamer, studeerkamer (ruimten waar bewoners doorgaans alleen zijn)
De interne warmtelast in een woonvertrek is 2x zo hoog aangenomen dan in andere verblijfsruimten.</t>
        </r>
      </text>
    </comment>
    <comment ref="A18" authorId="0" shapeId="0" xr:uid="{EC6245F6-F955-4C85-939B-C312153EE268}">
      <text>
        <r>
          <rPr>
            <sz val="9"/>
            <color indexed="81"/>
            <rFont val="Tahoma"/>
            <family val="2"/>
          </rPr>
          <t>voer hier de som van het raamoppervlak (glas+kozijn) in per type raam (gelijke U- en GGL-waarde).
 Per gevel kunnen 2 type ramen worden ingevoerd.</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Wim Struijs</author>
  </authors>
  <commentList>
    <comment ref="A4" authorId="0" shapeId="0" xr:uid="{2A37DEBE-B196-43E7-A404-7A8853130FFF}">
      <text>
        <r>
          <rPr>
            <sz val="9"/>
            <color indexed="81"/>
            <rFont val="Tahoma"/>
            <family val="2"/>
          </rPr>
          <t>Een woonvertrek is bijvoorbeeld de woonkamer, keuken en eetkamer (ruimten waar bewoners samenkomen)
Een andere verblijfsruimte is bijvoorbeeld een slaapkamer, studeerkamer (ruimten waar bewoners doorgaans alleen zijn)
De interne warmtelast in een woonvertrek is 2x zo hoog aangenomen dan in andere verblijfsruimten.</t>
        </r>
      </text>
    </comment>
    <comment ref="A18" authorId="0" shapeId="0" xr:uid="{F08689DE-AD2E-4975-A843-BD8E9C898D6D}">
      <text>
        <r>
          <rPr>
            <sz val="9"/>
            <color indexed="81"/>
            <rFont val="Tahoma"/>
            <family val="2"/>
          </rPr>
          <t>voer hier de som van het raamoppervlak (glas+kozijn) in per type raam (gelijke U- en GGL-waarde).
 Per gevel kunnen 2 type ramen worden ingevoerd.</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Wim Struijs</author>
  </authors>
  <commentList>
    <comment ref="A4" authorId="0" shapeId="0" xr:uid="{2C30F518-78BF-47C2-88F6-9B8B28098951}">
      <text>
        <r>
          <rPr>
            <sz val="9"/>
            <color indexed="81"/>
            <rFont val="Tahoma"/>
            <family val="2"/>
          </rPr>
          <t>Een woonvertrek is bijvoorbeeld de woonkamer, keuken en eetkamer (ruimten waar bewoners samenkomen)
Een andere verblijfsruimte is bijvoorbeeld een slaapkamer, studeerkamer (ruimten waar bewoners doorgaans alleen zijn)
De interne warmtelast in een woonvertrek is 2x zo hoog aangenomen dan in andere verblijfsruimten.</t>
        </r>
      </text>
    </comment>
    <comment ref="A18" authorId="0" shapeId="0" xr:uid="{20B81FAA-B687-47BB-AE99-C30A4834BD3C}">
      <text>
        <r>
          <rPr>
            <sz val="9"/>
            <color indexed="81"/>
            <rFont val="Tahoma"/>
            <family val="2"/>
          </rPr>
          <t>voer hier de som van het raamoppervlak (glas+kozijn) in per type raam (gelijke U- en GGL-waarde).
 Per gevel kunnen 2 type ramen worden ingevoerd.</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Wim Struijs</author>
  </authors>
  <commentList>
    <comment ref="A4" authorId="0" shapeId="0" xr:uid="{D88465F4-7F8D-49FC-961D-13EBF347B51D}">
      <text>
        <r>
          <rPr>
            <sz val="9"/>
            <color indexed="81"/>
            <rFont val="Tahoma"/>
            <family val="2"/>
          </rPr>
          <t>Een woonvertrek is bijvoorbeeld de woonkamer, keuken en eetkamer (ruimten waar bewoners samenkomen)
Een andere verblijfsruimte is bijvoorbeeld een slaapkamer, studeerkamer (ruimten waar bewoners doorgaans alleen zijn)
De interne warmtelast in een woonvertrek is 2x zo hoog aangenomen dan in andere verblijfsruimten.</t>
        </r>
      </text>
    </comment>
    <comment ref="A18" authorId="0" shapeId="0" xr:uid="{C0370C52-3908-472E-86F9-AE4747776CF1}">
      <text>
        <r>
          <rPr>
            <sz val="9"/>
            <color indexed="81"/>
            <rFont val="Tahoma"/>
            <family val="2"/>
          </rPr>
          <t>voer hier de som van het raamoppervlak (glas+kozijn) in per type raam (gelijke U- en GGL-waarde).
 Per gevel kunnen 2 type ramen worden ingevoerd.</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Wim Struijs</author>
  </authors>
  <commentList>
    <comment ref="A4" authorId="0" shapeId="0" xr:uid="{6AB64152-D6AC-46C4-A811-E9CF6B92B4FF}">
      <text>
        <r>
          <rPr>
            <sz val="9"/>
            <color indexed="81"/>
            <rFont val="Tahoma"/>
            <family val="2"/>
          </rPr>
          <t>Een woonvertrek is bijvoorbeeld de woonkamer, keuken en eetkamer (ruimten waar bewoners samenkomen)
Een andere verblijfsruimte is bijvoorbeeld een slaapkamer, studeerkamer (ruimten waar bewoners doorgaans alleen zijn)
De interne warmtelast in een woonvertrek is 2x zo hoog aangenomen dan in andere verblijfsruimten.</t>
        </r>
      </text>
    </comment>
    <comment ref="A18" authorId="0" shapeId="0" xr:uid="{32005D3B-83E2-4A49-8482-E5146F086470}">
      <text>
        <r>
          <rPr>
            <sz val="9"/>
            <color indexed="81"/>
            <rFont val="Tahoma"/>
            <family val="2"/>
          </rPr>
          <t>voer hier de som van het raamoppervlak (glas+kozijn) in per type raam (gelijke U- en GGL-waarde).
 Per gevel kunnen 2 type ramen worden ingevoerd.</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<sst xmlns="http://schemas.openxmlformats.org/spreadsheetml/2006/main" count="3884" uniqueCount="288">
  <si>
    <t>m²</t>
  </si>
  <si>
    <t>m</t>
  </si>
  <si>
    <t>°C</t>
  </si>
  <si>
    <t>PROJECTGEGEVENS</t>
  </si>
  <si>
    <t>Bouwjaar</t>
  </si>
  <si>
    <t>Platdak</t>
  </si>
  <si>
    <t>Project</t>
  </si>
  <si>
    <t>Projectnummer</t>
  </si>
  <si>
    <t>Opdrachtgever</t>
  </si>
  <si>
    <t>Datum</t>
  </si>
  <si>
    <t>Omschrijving</t>
  </si>
  <si>
    <t>W</t>
  </si>
  <si>
    <t>W/m²</t>
  </si>
  <si>
    <t>Vloeren</t>
  </si>
  <si>
    <t>Houten vloeren</t>
  </si>
  <si>
    <t>Licht</t>
  </si>
  <si>
    <t>Houtskeletbouw (hsb) vloeren</t>
  </si>
  <si>
    <t>Staalframebouw (sfb) vloeren</t>
  </si>
  <si>
    <t>Vloeren van elk type die aan de binnenzijde zijn geïsoleerd</t>
  </si>
  <si>
    <t>Staal-beton vloeren</t>
  </si>
  <si>
    <t>Zwaar</t>
  </si>
  <si>
    <t>Niet-massieve betonnen vloeren</t>
  </si>
  <si>
    <t>Massieve betonnen vloeren</t>
  </si>
  <si>
    <t>Zeer Zwaar</t>
  </si>
  <si>
    <t>Wanden</t>
  </si>
  <si>
    <t>Houtskeletbouw (hsb)</t>
  </si>
  <si>
    <t>Staalframebouw (sfb)</t>
  </si>
  <si>
    <t>Staalskeletbouw</t>
  </si>
  <si>
    <t>Wanden van elk type die aan de binnenzijde zijn geïsoleerd</t>
  </si>
  <si>
    <t>Dragend metselwerk</t>
  </si>
  <si>
    <t>Betonnen kolom-ligger skeletbouw</t>
  </si>
  <si>
    <t>Betonnen wand-vloer skeletbouw</t>
  </si>
  <si>
    <t>Type bouwwijze vloeren</t>
  </si>
  <si>
    <t>Type bouwwijze wanden</t>
  </si>
  <si>
    <t>Specifieke interne warmtecapaciteit</t>
  </si>
  <si>
    <t>[kJ/m²K]</t>
  </si>
  <si>
    <t>Massa van de constructie</t>
  </si>
  <si>
    <t>[kg/m²]</t>
  </si>
  <si>
    <t>Specifieke werkzame massa</t>
  </si>
  <si>
    <t xml:space="preserve">&lt;250 </t>
  </si>
  <si>
    <t>250 tot 500</t>
  </si>
  <si>
    <t>500 tot 750</t>
  </si>
  <si>
    <t>Zeer zwaar</t>
  </si>
  <si>
    <t>&gt;750</t>
  </si>
  <si>
    <t>Massa van de wanden  tabel 7.12 NTA8800</t>
  </si>
  <si>
    <t>Massa van de vloeren tabel 7.11 NTA8800</t>
  </si>
  <si>
    <t>Zoek waarde</t>
  </si>
  <si>
    <t>m³/h</t>
  </si>
  <si>
    <t>Toelichting</t>
  </si>
  <si>
    <t>Orientatie</t>
  </si>
  <si>
    <t>-</t>
  </si>
  <si>
    <t>Noord</t>
  </si>
  <si>
    <t>NoordOost</t>
  </si>
  <si>
    <t>Oost</t>
  </si>
  <si>
    <t>ZuidOost</t>
  </si>
  <si>
    <t>Zuid</t>
  </si>
  <si>
    <t>ZuidWest</t>
  </si>
  <si>
    <t>West</t>
  </si>
  <si>
    <t>NoordWest</t>
  </si>
  <si>
    <t>SWM = 50</t>
  </si>
  <si>
    <t>SWM &gt; 50</t>
  </si>
  <si>
    <t>Tijdstip maximale koellast Tabel AA.2 NTA8800</t>
  </si>
  <si>
    <t>Horizontaal</t>
  </si>
  <si>
    <t>dakvlak &lt;15° helling</t>
  </si>
  <si>
    <t>Graden</t>
  </si>
  <si>
    <t>nvt</t>
  </si>
  <si>
    <t>Buitenluchttemperatuur voor aandeel ventilatie bij tijdstip</t>
  </si>
  <si>
    <t>stuks</t>
  </si>
  <si>
    <t>personen</t>
  </si>
  <si>
    <t>Aantal woonfuncties in de rekenzone</t>
  </si>
  <si>
    <t>&gt;2015</t>
  </si>
  <si>
    <t>1975 - 1991</t>
  </si>
  <si>
    <t>1992 - 2014</t>
  </si>
  <si>
    <t>fiso</t>
  </si>
  <si>
    <t>Factor voor thermsiche isolatie van ondoorzichtige delen Tabel AA.4 NTA8800</t>
  </si>
  <si>
    <t>Maandgemiddelde totale opvallende zonnestraling isol;mi over alla uren tabel 17,2 NTA8800</t>
  </si>
  <si>
    <t>Helling 0° (platdak</t>
  </si>
  <si>
    <t>Helling 30°</t>
  </si>
  <si>
    <t>Helling 45°</t>
  </si>
  <si>
    <t>Helling 60°</t>
  </si>
  <si>
    <t>Helling 90° (gevel)</t>
  </si>
  <si>
    <t>Helling 180° (vloer boven buitenlucht)</t>
  </si>
  <si>
    <t>Type zonwering</t>
  </si>
  <si>
    <t>Fc</t>
  </si>
  <si>
    <t>Geen zonwering</t>
  </si>
  <si>
    <t>Screen (zwart, antraciet, donkerbruin)</t>
  </si>
  <si>
    <t>Screen (overige kleuren)</t>
  </si>
  <si>
    <t>Screen (wit)</t>
  </si>
  <si>
    <t>Screen (onbekende kleur)</t>
  </si>
  <si>
    <t>Jaloezieën (zwart, antraciet, donkerbruin)</t>
  </si>
  <si>
    <t>Jaloezieën (overige kleuren)</t>
  </si>
  <si>
    <t>Jaloezieën (wit)</t>
  </si>
  <si>
    <t>Jaloezieën (onbekende kleur)</t>
  </si>
  <si>
    <t>Rolluiken (overige kleuren)</t>
  </si>
  <si>
    <t>Rolluiken (wit)</t>
  </si>
  <si>
    <t>Rolluiken (onbekende kleur)</t>
  </si>
  <si>
    <t>Gemetalisseerde weefsels (binnen toegepast)</t>
  </si>
  <si>
    <t>type zonwering tabel 7,5</t>
  </si>
  <si>
    <t>W/m².K</t>
  </si>
  <si>
    <t>Koelbehoefte verblijfsruimte</t>
  </si>
  <si>
    <t>Totaal koellastbijdrage per gevel</t>
  </si>
  <si>
    <t>Nee</t>
  </si>
  <si>
    <t>Grenst aan buitenlucht ja of nee</t>
  </si>
  <si>
    <t>°</t>
  </si>
  <si>
    <t>Constructie oppervlak (binnenwerks)</t>
  </si>
  <si>
    <t>Gesloten constructie oppervlak</t>
  </si>
  <si>
    <t>geen koellast op noord verwacht</t>
  </si>
  <si>
    <t>Ruimtenaam</t>
  </si>
  <si>
    <t>≤1974</t>
  </si>
  <si>
    <t>De enige uitwendigescheidingscontructie?</t>
  </si>
  <si>
    <t>RESULTATEN OP RUIMTENIVEAU</t>
  </si>
  <si>
    <t>Minimale belemmering</t>
  </si>
  <si>
    <t>Constante overstek</t>
  </si>
  <si>
    <t>Zijbelemmering</t>
  </si>
  <si>
    <t>Volledige belemmering</t>
  </si>
  <si>
    <t>Constante overstek en één of meer zij)belemmering(en)</t>
  </si>
  <si>
    <t>Overige belemmering</t>
  </si>
  <si>
    <t>Tabel 8.24 ISSO 82.1 Mogelijke beschaduwingssituaties bij ramen platte en hellende daken</t>
  </si>
  <si>
    <t>Tabel 8.23 ISSO 82.1 Mogelijke beschaduwingssituaties bij ramen in gevels</t>
  </si>
  <si>
    <t>Relatieve hoogte van overstek</t>
  </si>
  <si>
    <t>Hoogte verschil midden raam onderzijde overstek</t>
  </si>
  <si>
    <t>Horizontale afstand glas tot eindpunt overstek</t>
  </si>
  <si>
    <t>BENG GEGEVENS</t>
  </si>
  <si>
    <t>Glasvlak type 1</t>
  </si>
  <si>
    <t>Glasvlak type 2</t>
  </si>
  <si>
    <t>Dakvlak maatgevend?</t>
  </si>
  <si>
    <t>Uitwendigescheidingsconstructie niet op Noord?</t>
  </si>
  <si>
    <t>Gevel lengte (binnenwerks)</t>
  </si>
  <si>
    <t>Gevel hoogte / Dak breedte (binnenwerks)</t>
  </si>
  <si>
    <t>Orientatie gevel / dakvlak (Helling &gt; 15°C)</t>
  </si>
  <si>
    <t>Type constructie</t>
  </si>
  <si>
    <r>
      <t>Factor thermische isolatie ondoorzichtige delen f</t>
    </r>
    <r>
      <rPr>
        <vertAlign val="subscript"/>
        <sz val="9"/>
        <color theme="1"/>
        <rFont val="Arial Nova Light"/>
        <family val="2"/>
      </rPr>
      <t>;iso</t>
    </r>
  </si>
  <si>
    <t>Orientatiehoek gevel Ƴ</t>
  </si>
  <si>
    <t>Hellingshoek constructie ≥ 15° = hellenddak 90° = gevel</t>
  </si>
  <si>
    <r>
      <t>Warmtedoorgangscoefficient (U-waarde) van het raam U</t>
    </r>
    <r>
      <rPr>
        <vertAlign val="subscript"/>
        <sz val="9"/>
        <color theme="1"/>
        <rFont val="Arial Nova Light"/>
        <family val="2"/>
      </rPr>
      <t>w;wi;k</t>
    </r>
  </si>
  <si>
    <r>
      <t>De beschaduwingsreductiefactor F</t>
    </r>
    <r>
      <rPr>
        <vertAlign val="subscript"/>
        <sz val="9"/>
        <color theme="1"/>
        <rFont val="Arial Nova Light"/>
        <family val="2"/>
      </rPr>
      <t>sh;obst;wi;k;juli</t>
    </r>
  </si>
  <si>
    <r>
      <t>De reductiefactor voor zonwering F</t>
    </r>
    <r>
      <rPr>
        <vertAlign val="subscript"/>
        <sz val="9"/>
        <color theme="1"/>
        <rFont val="Arial Nova Light"/>
        <family val="2"/>
      </rPr>
      <t>c;wi;k</t>
    </r>
  </si>
  <si>
    <r>
      <t>Totaal opvallende zonnestraling van het raam I</t>
    </r>
    <r>
      <rPr>
        <vertAlign val="subscript"/>
        <sz val="9"/>
        <color theme="1"/>
        <rFont val="Arial Nova Light"/>
        <family val="2"/>
      </rPr>
      <t>sol;wi;k;juli</t>
    </r>
  </si>
  <si>
    <r>
      <t>Tijdstip maximale koellastbijdrage t</t>
    </r>
    <r>
      <rPr>
        <vertAlign val="subscript"/>
        <sz val="9"/>
        <color theme="1"/>
        <rFont val="Arial Nova Light"/>
        <family val="2"/>
      </rPr>
      <t>max;zi</t>
    </r>
  </si>
  <si>
    <r>
      <t>Buitenluchttemperatuur op tijdstip max koellast Θ</t>
    </r>
    <r>
      <rPr>
        <vertAlign val="subscript"/>
        <sz val="9"/>
        <color theme="1"/>
        <rFont val="Arial Nova Light"/>
        <family val="2"/>
      </rPr>
      <t>e</t>
    </r>
  </si>
  <si>
    <r>
      <t>Maatgevende tijdstip t</t>
    </r>
    <r>
      <rPr>
        <vertAlign val="subscript"/>
        <sz val="9"/>
        <color theme="1"/>
        <rFont val="Arial Nova Light"/>
        <family val="2"/>
      </rPr>
      <t>max;zi</t>
    </r>
  </si>
  <si>
    <r>
      <t>Koellast door transmissie ondoorzichtige delen P</t>
    </r>
    <r>
      <rPr>
        <vertAlign val="subscript"/>
        <sz val="9"/>
        <color theme="1"/>
        <rFont val="Arial Nova Light"/>
        <family val="2"/>
      </rPr>
      <t>tr;ntr;vr;zi</t>
    </r>
  </si>
  <si>
    <r>
      <t>Koellastbijdrage zoninstraling transparante delen P</t>
    </r>
    <r>
      <rPr>
        <vertAlign val="subscript"/>
        <sz val="9"/>
        <color theme="1"/>
        <rFont val="Arial Nova Light"/>
        <family val="2"/>
      </rPr>
      <t>sol;vr;zi</t>
    </r>
  </si>
  <si>
    <r>
      <t>Koellastbijdrage transmissie transparante delen P</t>
    </r>
    <r>
      <rPr>
        <vertAlign val="subscript"/>
        <sz val="9"/>
        <color theme="1"/>
        <rFont val="Arial Nova Light"/>
        <family val="2"/>
      </rPr>
      <t>tr;gl;vr;zi</t>
    </r>
  </si>
  <si>
    <r>
      <t>Koellast door interne warmtelast P</t>
    </r>
    <r>
      <rPr>
        <vertAlign val="subscript"/>
        <sz val="9"/>
        <color theme="1"/>
        <rFont val="Arial Nova Light"/>
        <family val="2"/>
      </rPr>
      <t>int;calc;woon/overig;zi</t>
    </r>
  </si>
  <si>
    <r>
      <t>Koellast door buitenluchttoetreding P</t>
    </r>
    <r>
      <rPr>
        <vertAlign val="subscript"/>
        <sz val="9"/>
        <color theme="1"/>
        <rFont val="Arial Nova Light"/>
        <family val="2"/>
      </rPr>
      <t>v;calc;vr;zi</t>
    </r>
  </si>
  <si>
    <r>
      <t>Natuurlijke toevoer in maand juli q</t>
    </r>
    <r>
      <rPr>
        <vertAlign val="subscript"/>
        <sz val="9"/>
        <color theme="1"/>
        <rFont val="Arial Nova Light"/>
        <family val="2"/>
      </rPr>
      <t>;v;eff;vent;in</t>
    </r>
  </si>
  <si>
    <r>
      <t>Gebruiksoppervlak rekenzone A</t>
    </r>
    <r>
      <rPr>
        <vertAlign val="subscript"/>
        <sz val="9"/>
        <color theme="1"/>
        <rFont val="Arial Nova Light"/>
        <family val="2"/>
      </rPr>
      <t>;g</t>
    </r>
  </si>
  <si>
    <r>
      <t>Gemiddelde bezetting per woonfunctie N</t>
    </r>
    <r>
      <rPr>
        <vertAlign val="subscript"/>
        <sz val="9"/>
        <color theme="1"/>
        <rFont val="Arial Nova Light"/>
        <family val="2"/>
      </rPr>
      <t>p;woon;zi</t>
    </r>
  </si>
  <si>
    <r>
      <t>Interne warmtelast P</t>
    </r>
    <r>
      <rPr>
        <vertAlign val="subscript"/>
        <sz val="9"/>
        <color theme="1"/>
        <rFont val="Arial Nova Light"/>
        <family val="2"/>
      </rPr>
      <t>int;zi</t>
    </r>
  </si>
  <si>
    <r>
      <t>Buitenluchttemperatuur bij tijdstip max koellast  t</t>
    </r>
    <r>
      <rPr>
        <vertAlign val="subscript"/>
        <sz val="9"/>
        <color theme="1"/>
        <rFont val="Arial Nova Light"/>
        <family val="2"/>
      </rPr>
      <t>max,zi</t>
    </r>
  </si>
  <si>
    <t>Maatgevende tijdstip</t>
  </si>
  <si>
    <t>Totaal glasoppervlak</t>
  </si>
  <si>
    <t xml:space="preserve">Grootste glasoppervlak </t>
  </si>
  <si>
    <t>is er een maatgevend dakoppervlak</t>
  </si>
  <si>
    <t>Horizontale afstand midden raam verste punt belemmering</t>
  </si>
  <si>
    <t>Horizontale breedte glas tot eindpunt belemmering</t>
  </si>
  <si>
    <r>
      <t>Relatieve breedte van de zijbelemmering b</t>
    </r>
    <r>
      <rPr>
        <vertAlign val="subscript"/>
        <sz val="9"/>
        <color theme="1"/>
        <rFont val="Arial Nova Light"/>
        <family val="2"/>
      </rPr>
      <t>b</t>
    </r>
  </si>
  <si>
    <t>Positie zijbelemmering irt zichtveld (naar buitengericht)</t>
  </si>
  <si>
    <t>tabel 17,5</t>
  </si>
  <si>
    <t>tabel 17,9</t>
  </si>
  <si>
    <t>tabel 17,11</t>
  </si>
  <si>
    <t>tabel 17,14</t>
  </si>
  <si>
    <t>Overstekhoek</t>
  </si>
  <si>
    <t>Ja</t>
  </si>
  <si>
    <t>Ja of nee</t>
  </si>
  <si>
    <t>Overstek</t>
  </si>
  <si>
    <t>Totaal koellastbijdrage</t>
  </si>
  <si>
    <t>Is meer dan 50% van de gebouwschil aantoonbaar nageisoleerd?</t>
  </si>
  <si>
    <t>Glasopppervlak</t>
  </si>
  <si>
    <t>Verklaring gebruike kleuren</t>
  </si>
  <si>
    <t>Invoerveld</t>
  </si>
  <si>
    <t>Titel veld</t>
  </si>
  <si>
    <t>(sub) Totaal veld</t>
  </si>
  <si>
    <t>Versie rekentool</t>
  </si>
  <si>
    <t>Achtergrond</t>
  </si>
  <si>
    <r>
      <t>Mechanische toevoer in maand juli q</t>
    </r>
    <r>
      <rPr>
        <vertAlign val="subscript"/>
        <sz val="9"/>
        <color theme="1"/>
        <rFont val="Arial Nova Light"/>
        <family val="2"/>
      </rPr>
      <t>;v;mech;in</t>
    </r>
  </si>
  <si>
    <t>Minimaal te installeren koelcapaciteit</t>
  </si>
  <si>
    <t xml:space="preserve">Vaste aftrek van 35W/m² </t>
  </si>
  <si>
    <t>Vloeroppervlak (gebruiksoppervlak)</t>
  </si>
  <si>
    <r>
      <t>Vloeroppervlak verblijfsruimte A</t>
    </r>
    <r>
      <rPr>
        <vertAlign val="subscript"/>
        <sz val="9"/>
        <color theme="1"/>
        <rFont val="Arial Nova Light"/>
        <family val="2"/>
      </rPr>
      <t>vr</t>
    </r>
    <r>
      <rPr>
        <sz val="9"/>
        <color theme="1"/>
        <rFont val="Arial Nova Light"/>
        <family val="2"/>
      </rPr>
      <t xml:space="preserve">  (gebruiksoppervlak)</t>
    </r>
  </si>
  <si>
    <t>Voorzijde woning</t>
  </si>
  <si>
    <t>Linker zijde woning</t>
  </si>
  <si>
    <t>Achterzijde woning</t>
  </si>
  <si>
    <t>Rechter zijde woning</t>
  </si>
  <si>
    <t>Orientatiehoek voorzijde woning Ƴ</t>
  </si>
  <si>
    <t xml:space="preserve">Orientatie voorzijde woning </t>
  </si>
  <si>
    <t>Noord-Oost</t>
  </si>
  <si>
    <t>Zuid-Oost</t>
  </si>
  <si>
    <t>Noord-West</t>
  </si>
  <si>
    <t>Zuid-West</t>
  </si>
  <si>
    <t>Type verblijfsruimte</t>
  </si>
  <si>
    <t>Ruimte 1</t>
  </si>
  <si>
    <r>
      <t>Infiltratie in maand juli q</t>
    </r>
    <r>
      <rPr>
        <vertAlign val="subscript"/>
        <sz val="9"/>
        <color theme="1"/>
        <rFont val="Arial Nova Light"/>
        <family val="2"/>
      </rPr>
      <t>;v;eff;lea;in</t>
    </r>
  </si>
  <si>
    <t>RUIMTE 1</t>
  </si>
  <si>
    <t>Andere verblijfsruimte</t>
  </si>
  <si>
    <t>RUIMTE 2</t>
  </si>
  <si>
    <t>Ruimte 2</t>
  </si>
  <si>
    <t>Ruimte 3</t>
  </si>
  <si>
    <t>Ruimte 4</t>
  </si>
  <si>
    <t>Ruimte 5</t>
  </si>
  <si>
    <t>Ruimte 6</t>
  </si>
  <si>
    <t>Ruimte 7</t>
  </si>
  <si>
    <t>RUIMTE 3</t>
  </si>
  <si>
    <t>RUIMTE 6</t>
  </si>
  <si>
    <t>RUIMTE 5</t>
  </si>
  <si>
    <t>RUIMTE 7</t>
  </si>
  <si>
    <r>
      <t>Haal het gebruiksoppervlak A</t>
    </r>
    <r>
      <rPr>
        <vertAlign val="subscript"/>
        <sz val="9"/>
        <color theme="1"/>
        <rFont val="Arial Nova Light"/>
        <family val="2"/>
      </rPr>
      <t>;g</t>
    </r>
    <r>
      <rPr>
        <sz val="9"/>
        <color theme="1"/>
        <rFont val="Arial Nova Light"/>
        <family val="2"/>
      </rPr>
      <t xml:space="preserve"> uit de NTA8800 software. Uitgangspunt in deze rekentool is dat er één rekenzone per woning is.</t>
    </r>
  </si>
  <si>
    <t>Ruimte 8</t>
  </si>
  <si>
    <t>Ruimte 9</t>
  </si>
  <si>
    <t>Ruimte 10</t>
  </si>
  <si>
    <t>RUIMTE 10</t>
  </si>
  <si>
    <t>RUIMTE 9</t>
  </si>
  <si>
    <t>RUIMTE 8</t>
  </si>
  <si>
    <t>Woonvertrek</t>
  </si>
  <si>
    <r>
      <t>Rekenwaarde internewarmtelast q</t>
    </r>
    <r>
      <rPr>
        <vertAlign val="subscript"/>
        <sz val="9"/>
        <color theme="1"/>
        <rFont val="Arial Nova Light"/>
        <family val="2"/>
      </rPr>
      <t>int;calc;zi</t>
    </r>
  </si>
  <si>
    <t>Andere verblijfsruimten</t>
  </si>
  <si>
    <t>Invoer raamoppervlakken</t>
  </si>
  <si>
    <r>
      <t>Totaal oppervlak van raamtype A</t>
    </r>
    <r>
      <rPr>
        <vertAlign val="subscript"/>
        <sz val="9"/>
        <color theme="1"/>
        <rFont val="Arial Nova Light"/>
        <family val="2"/>
      </rPr>
      <t>w,k</t>
    </r>
    <r>
      <rPr>
        <sz val="9"/>
        <color theme="1"/>
        <rFont val="Arial Nova Light"/>
        <family val="2"/>
      </rPr>
      <t xml:space="preserve"> (inclusief kozijn)</t>
    </r>
  </si>
  <si>
    <t>Beschaduwing situatie bij het raamtype</t>
  </si>
  <si>
    <t>SOFTWARE WIJZIGINGEN REKENTOOL</t>
  </si>
  <si>
    <t>Zontoetredingsfactor (g_waarde) van het glas Ggl;n;wi;k;C;juli</t>
  </si>
  <si>
    <t>Knikarmschermen</t>
  </si>
  <si>
    <t>Uitvalschermen</t>
  </si>
  <si>
    <t>β</t>
  </si>
  <si>
    <t>0°</t>
  </si>
  <si>
    <t>30°</t>
  </si>
  <si>
    <t>γ</t>
  </si>
  <si>
    <t>–</t>
  </si>
  <si>
    <t>180°</t>
  </si>
  <si>
    <t>225°</t>
  </si>
  <si>
    <t>270°</t>
  </si>
  <si>
    <t>315°</t>
  </si>
  <si>
    <t>360°</t>
  </si>
  <si>
    <t>45°</t>
  </si>
  <si>
    <t>90°</t>
  </si>
  <si>
    <t>135°</t>
  </si>
  <si>
    <t>Z</t>
  </si>
  <si>
    <t>ZW</t>
  </si>
  <si>
    <t>NW</t>
  </si>
  <si>
    <t>N</t>
  </si>
  <si>
    <t>NO</t>
  </si>
  <si>
    <t>O</t>
  </si>
  <si>
    <t>ZO</t>
  </si>
  <si>
    <t>Tijdstip</t>
  </si>
  <si>
    <r>
      <t>I</t>
    </r>
    <r>
      <rPr>
        <b/>
        <vertAlign val="subscript"/>
        <sz val="11"/>
        <color theme="1"/>
        <rFont val="Cambria"/>
        <family val="1"/>
      </rPr>
      <t>sol</t>
    </r>
    <r>
      <rPr>
        <b/>
        <i/>
        <vertAlign val="subscript"/>
        <sz val="11"/>
        <color theme="1"/>
        <rFont val="Cambria"/>
        <family val="1"/>
      </rPr>
      <t>;mi</t>
    </r>
  </si>
  <si>
    <r>
      <t>W/m</t>
    </r>
    <r>
      <rPr>
        <b/>
        <vertAlign val="superscript"/>
        <sz val="11"/>
        <color theme="1"/>
        <rFont val="Cambria"/>
        <family val="1"/>
      </rPr>
      <t>2</t>
    </r>
  </si>
  <si>
    <t>60°</t>
  </si>
  <si>
    <r>
      <t>Tabel AA.xxx geeft de totale opvallende zonnestraling voor verschillende oriëntaties (</t>
    </r>
    <r>
      <rPr>
        <i/>
        <sz val="11"/>
        <color theme="1"/>
        <rFont val="Cambria"/>
        <family val="1"/>
      </rPr>
      <t>γ</t>
    </r>
    <r>
      <rPr>
        <sz val="11"/>
        <color theme="1"/>
        <rFont val="Cambria"/>
        <family val="1"/>
      </rPr>
      <t>) en hellingshoeken (</t>
    </r>
    <r>
      <rPr>
        <i/>
        <sz val="11"/>
        <color theme="1"/>
        <rFont val="Cambria"/>
        <family val="1"/>
      </rPr>
      <t>β</t>
    </r>
    <r>
      <rPr>
        <sz val="11"/>
        <color theme="1"/>
        <rFont val="Cambria"/>
        <family val="1"/>
      </rPr>
      <t>). Voor tussenliggende oriëntaties moet de waarde behorend bij de dichtstbijzijnde oriëntatie worden genomen. Indien de oriëntatie precies tussen twee aangegeven oriëntaties in ligt, moet de hoogste, naastliggende waarde worden genomen. Voor tussenliggende hellingshoeken moet lineair geïnterpoleerd worden tussen de tabelwaarden.</t>
    </r>
  </si>
  <si>
    <t>Isol max voor de orientatie</t>
  </si>
  <si>
    <t>Tijdstip bij Isol max bij orientatie</t>
  </si>
  <si>
    <t>Onderstaande tabellen worden verborgen in de uiteindelijke versie. De tabellen dienen om vast te stellen welk tijdstip tot de hoogste zonbelasting leidt</t>
  </si>
  <si>
    <t>Links</t>
  </si>
  <si>
    <t>Minimaal op te stellen koelvermogen opwekker</t>
  </si>
  <si>
    <t>AFTREK</t>
  </si>
  <si>
    <t>som VAN ALLE RUIMTEN (INCLUSIES AFTREK 35W/m²</t>
  </si>
  <si>
    <t>Aftrek 35W/m²</t>
  </si>
  <si>
    <t>Totaal met afrek</t>
  </si>
  <si>
    <t>Onderstaande tabellen worden verwijderd in de uiteindelijke versie. De tabellen dienen om vast te stellen welk tijdstip tot de hoogste belasting van de opwekker leidt</t>
  </si>
  <si>
    <t>BENODIGDE KOELCAPACITEIT OPWEKKER</t>
  </si>
  <si>
    <r>
      <t>Koellastbijdrage transmissie ondoorzichtige delen P</t>
    </r>
    <r>
      <rPr>
        <vertAlign val="subscript"/>
        <sz val="9"/>
        <color theme="1"/>
        <rFont val="Arial Nova Light"/>
        <family val="2"/>
      </rPr>
      <t>tr;ntr;vr;zi</t>
    </r>
  </si>
  <si>
    <t>Uitgangspunten</t>
  </si>
  <si>
    <t>Een andere verblijfsruimten is een verblijfsruimte anders dan de woonkamer, keuken en/of eetkamer. Bijvoorbeeld een slaapkamer.</t>
  </si>
  <si>
    <t>Nieuwe opzet overeenkomstig 2025-versie van bijlage AA van NTA8800.</t>
  </si>
  <si>
    <t>TOELICHTING REKENTOOL VEREENVOUDIGDE BEPALINGSMETHODE KOELBEHOEFTE (BIJLAGE AA - NTA 8800)</t>
  </si>
  <si>
    <t>Een woonvertrek is een verblijfsruimte die bedoeld is, of in gebruik is als woonkamer, keuken en/of eetkamer. In bijlage AA wordt hier onderscheid in gemaakt omdat het aannemelijk is dat de bewoners samen komen in deze ruimten. Daarom is aangenomen dat de interne warmtelast van deze ruimten twee keer zo hoog is als in de andere verblijfsruimten.</t>
  </si>
  <si>
    <t>Algemeen</t>
  </si>
  <si>
    <t>Luchtstromen koeling</t>
  </si>
  <si>
    <t>Bezetting</t>
  </si>
  <si>
    <r>
      <t xml:space="preserve">Met deze rekentool kunnen de meeste situaties worden doorgerekend. Toch kunnen zich situaties voordoen die niet direct in de rekentool ingevoerd kunnen worden. Voorbeelden hiervan zijn:
- een woning met meer dan tien </t>
    </r>
    <r>
      <rPr>
        <b/>
        <sz val="11"/>
        <color theme="3"/>
        <rFont val="Arial Nova Light"/>
        <family val="2"/>
      </rPr>
      <t>(verblijfs)</t>
    </r>
    <r>
      <rPr>
        <sz val="11"/>
        <color theme="3"/>
        <rFont val="Arial Nova Light"/>
        <family val="2"/>
      </rPr>
      <t xml:space="preserve">ruimten;
- een woning die opgesplitst is in meerdere rekenzones.
In dat geval is het aan de adviseur om daarmee pragmatisch om te gaan.
</t>
    </r>
    <r>
      <rPr>
        <u/>
        <sz val="11"/>
        <color theme="3"/>
        <rFont val="Arial Nova Light"/>
        <family val="2"/>
      </rPr>
      <t xml:space="preserve">
</t>
    </r>
    <r>
      <rPr>
        <sz val="11"/>
        <color theme="3"/>
        <rFont val="Arial Nova Light"/>
        <family val="2"/>
      </rPr>
      <t>Opgemerkt wordt dat:
- uitsluitend de verblijfsruimten (zoals bijvoorbeeld keuken, woonkamer en slaapkamers) worden ingevoerd. Dus niet het toilet, de hal en de badkamer.
- mocht een woning toch uit meerdere (gekoelde) rekenzones bestaan dan kan de volgende pragmatische aanpak worden gevolgd: voer alle (verblijfs)ruimten van de (gekoelde) rekenzones van de woning in. De luchtstromen van de verschillende gekoelde rekenzones worden bij elkaar opgeteld en ingevuld bij ‘Luchtstromen koeling’ in het tabblad ‘Invoerblad’. 
Onder ‘Bezetting’ wordt de gebruiksoppervlakte van de gezamenlijke gekoelde rekenzones ingevuld.</t>
    </r>
  </si>
  <si>
    <t>Resultaat veld/ toelichting</t>
  </si>
  <si>
    <t>BENODIGDE KOELCAPACITEIT VERBLIJFSRUIMTE AFGIFTE</t>
  </si>
  <si>
    <t>Versie 2025.02</t>
  </si>
  <si>
    <t>REKENTOOL VEREENVOUDIGDE BEPALINGSMETHODE KOELBEHOEFTE (2025-versie BIJLAGE AA NTA 8800)</t>
  </si>
  <si>
    <t>De berekeningen in deze tool volgen de 2025-versie van bijlage AA van NTA 8800. Deze bijlage is te downloaden op de website https://www.gebouwenergieprestatie.nl/. Een beschrijving van de berekening, en een nadere toelichting op de invoervelden is beschreven in de bijlage AA.</t>
  </si>
  <si>
    <r>
      <t>In de rekenbladen van de ruimten kunnen twee verschillende typen ramen per oriëntatie worden ingevoerd, het is niet noodzakelijk elk raam apart in te voeren. Doorgaans zijn alle typen ramen in een woning gelijk en kan het raamoppervlak  (glas + kozijn) met dezelfde U- en g</t>
    </r>
    <r>
      <rPr>
        <vertAlign val="subscript"/>
        <sz val="11"/>
        <color theme="3"/>
        <rFont val="Arial Nova Light"/>
        <family val="2"/>
      </rPr>
      <t>GL</t>
    </r>
    <r>
      <rPr>
        <sz val="11"/>
        <color theme="3"/>
        <rFont val="Arial Nova Light"/>
        <family val="2"/>
      </rPr>
      <t>-waarden per gevel, per ruimte bij elkaar worden opgeteld.
Mocht er sprake zijn van een (verblijfs)ruimte met meer dan twee verschillende raam(typen) in één oriëntatie, dan kan er ook voor gekozen worden in die ruimte twee gevels met dezelfde oriëntatie op te geven. Op die manier kunnen er dan dus in totaal vier raam(typen) worden ingevoerd.</t>
    </r>
  </si>
  <si>
    <t>Meer informatie over de eisen en de bepalingsmethoden met betrekking tot het risico op oververhitting is te lezen op https://www.rvo.nl/onderwerpen/wetten-en-regels-gebouwen/beng/indicatoren. Hier is ook de laatste versie van deze rekentool te downloaden.</t>
  </si>
  <si>
    <r>
      <rPr>
        <b/>
        <sz val="11"/>
        <color theme="3"/>
        <rFont val="Arial Nova Light"/>
        <family val="2"/>
      </rPr>
      <t>DISCLAIMER</t>
    </r>
    <r>
      <rPr>
        <sz val="11"/>
        <color theme="3"/>
        <rFont val="Arial Nova Light"/>
        <family val="2"/>
      </rPr>
      <t>: De rekentool is gebaseerd op de 2025-versie van Bijlage AA van NTA8800 - Energieprestatie van gebouwen - Bepalingsmethode.
voor meer informatie en de actuele versie van de rekentool: zie https://www.gebouwenergieprestatie.nl en/of https://www.rvo.nl/onderwerpen/wetten-en-regels-gebouwen/beng/indicatoren
  De bepalingsmethode in bijlage AA is afgeleid van een reguliere koellastberekening. Deze methode is uitsluitend bedoeld om te toetsen of een woning of bouwplan volgens 
de eisen van de bouwregelgeving het risico op oververhitting in woningen en appartementen in voldoende mate beperkt. 
Deze methode is niet bedoeld en niet geschikt als vervanging voor een dimensioneringsmethode voor de daadwerkelijk te installeren koelcapaciteit.
De rekentool is ontwikkeld door Nieman Raadgevende Ingenieurs in opdracht van de Rijksdienst voor Ondernemend Nederland (RVO).
Aan de rekentool kunnen geen rechten worden ontleend. Hoewel dit instrument met de grootst mogelijke zorg is samengesteld kan RVO
 geen enkele aansprakelijkheid aanvaarden voor schade als gevolg van eventuele onjuistheden en/of uitvoering of gebruik van het instrument.</t>
    </r>
  </si>
  <si>
    <t>Haal de luchtstromen uit de NTA8800 software. Deze waarden zijn terug te vinden in de resultatenoverzichten die vanuit de software beschikbaar zijn. 
Bij een BENG-berekening op woongebouw-niveau worden de luchtvolumestromen niet per appartement gegeven. In dat geval moet, naar inzicht van de adviseur, het debiet worden bepaald. Dat kan bijvoorbeeld door het totale debiet uit de BENG-berekening van het woongebouw naar rato van de gebruiksoppervlakte over de individuele appartementen te verdelen of door een aparte BENG-berekening op te stellen van het appartement waarvoor de bijlage AA berekening wordt gemaakt.</t>
  </si>
  <si>
    <t>RUIMTE 4</t>
  </si>
  <si>
    <t>Versie 2025.03</t>
  </si>
  <si>
    <t>Berekening geveloppervlak formules gecorrigeerd</t>
  </si>
  <si>
    <t>Ruimte naam ruimte 4 correct weergegeven op resultaten overzicht</t>
  </si>
  <si>
    <t>Kleine fouten opgelost, opmaak bijgewerkt</t>
  </si>
  <si>
    <t>Max temp</t>
  </si>
  <si>
    <t>Versie 2025.04</t>
  </si>
  <si>
    <t>Probleem waarbij de knop Reset werkblad de zoninstraling niet opnieuw liet doorrekenen.</t>
  </si>
  <si>
    <t>Probleem opgelost: Knop reset werkblad de zoninstraling niet opnieuw liet doorrekenen.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</si>
</sst>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 #,##0.00_ ;_ * \-#,##0.00_ ;_ * &quot;-&quot;??_ ;_ @_ "/>
    <numFmt numFmtId="164" formatCode="_-* #,##0.00_-;_-* #,##0.00\-;_-* &quot;-&quot;??_-;_-@_-"/>
    <numFmt numFmtId="165" formatCode="0.0"/>
    <numFmt numFmtId="166" formatCode="_ * #,##0_ ;_ * \-#,##0_ ;_ * &quot;-&quot;??_ ;_ @_ "/>
    <numFmt numFmtId="167" formatCode="s\t\a\nd\a\a\rd"/>
    <numFmt numFmtId="168" formatCode="_ * #,##0.0_ ;_ * \-#,##0.0_ ;_ * &quot;-&quot;??_ ;_ @_ "/>
    <numFmt numFmtId="169" formatCode="0\°&quot;&quot;"/>
    <numFmt numFmtId="170" formatCode="h:mm;@"/>
    <numFmt numFmtId="171" formatCode="[$-F400]h:mm:ss\ AM/PM"/>
    <numFmt numFmtId="172" formatCode="0\°"/>
    <numFmt numFmtId="173" formatCode="dd/mm/yyyy"/>
  </numFmts>
  <fonts count="61"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b/>
      <sz val="12"/>
      <name val="Arial"/>
      <family val="2"/>
    </font>
    <font>
      <sz val="8"/>
      <name val="Helvetica"/>
      <family val="2"/>
    </font>
    <font>
      <sz val="8"/>
      <color theme="1"/>
      <name val="Helvetica"/>
      <family val="2"/>
    </font>
    <font>
      <sz val="8"/>
      <name val="Calibri"/>
      <family val="2"/>
      <scheme val="minor"/>
    </font>
    <font>
      <b/>
      <sz val="8"/>
      <color theme="1"/>
      <name val="Arial Nova Light"/>
      <family val="2"/>
    </font>
    <font>
      <sz val="8"/>
      <color theme="1"/>
      <name val="Arial Nova Light"/>
      <family val="2"/>
    </font>
    <font>
      <sz val="11"/>
      <color theme="1"/>
      <name val="Arial Nova Light"/>
      <family val="2"/>
    </font>
    <font>
      <b/>
      <sz val="8"/>
      <color rgb="FF000000"/>
      <name val="Arial Nova Light"/>
      <family val="2"/>
    </font>
    <font>
      <sz val="8"/>
      <color rgb="FF000000"/>
      <name val="Arial Nova Light"/>
      <family val="2"/>
    </font>
    <font>
      <b/>
      <sz val="11"/>
      <color theme="1"/>
      <name val="Arial Nova Light"/>
      <family val="2"/>
    </font>
    <font>
      <b/>
      <sz val="12"/>
      <color theme="0"/>
      <name val="Arial Nova Light"/>
      <family val="2"/>
    </font>
    <font>
      <sz val="12"/>
      <color theme="0"/>
      <name val="Arial Nova Light"/>
      <family val="2"/>
    </font>
    <font>
      <sz val="9"/>
      <color theme="1"/>
      <name val="Arial Nova Light"/>
      <family val="2"/>
    </font>
    <font>
      <sz val="10"/>
      <color theme="1"/>
      <name val="Arial Nova Light"/>
      <family val="2"/>
    </font>
    <font>
      <vertAlign val="subscript"/>
      <sz val="9"/>
      <color theme="1"/>
      <name val="Arial Nova Light"/>
      <family val="2"/>
    </font>
    <font>
      <sz val="10"/>
      <name val="Arial Nova Light"/>
      <family val="2"/>
    </font>
    <font>
      <sz val="10"/>
      <color theme="3"/>
      <name val="Arial Nova Light"/>
      <family val="2"/>
    </font>
    <font>
      <sz val="9"/>
      <name val="Arial Nova Light"/>
      <family val="2"/>
    </font>
    <font>
      <sz val="9"/>
      <color theme="3"/>
      <name val="Arial Nova Light"/>
      <family val="2"/>
    </font>
    <font>
      <sz val="9"/>
      <color theme="3" tint="0.79995117038483843"/>
      <name val="Arial Nova Light"/>
      <family val="2"/>
    </font>
    <font>
      <sz val="11"/>
      <color theme="3"/>
      <name val="Arial Nova Light"/>
      <family val="2"/>
    </font>
    <font>
      <b/>
      <sz val="11"/>
      <color theme="3"/>
      <name val="Arial Nova Light"/>
      <family val="2"/>
    </font>
    <font>
      <sz val="9"/>
      <color indexed="81"/>
      <name val="Tahoma"/>
      <family val="2"/>
    </font>
    <font>
      <b/>
      <sz val="9"/>
      <color indexed="81"/>
      <name val="Tahoma"/>
      <family val="2"/>
    </font>
    <font>
      <b/>
      <sz val="10"/>
      <color theme="1"/>
      <name val="Calibri"/>
      <family val="2"/>
      <scheme val="minor"/>
    </font>
    <font>
      <b/>
      <sz val="10"/>
      <color theme="0"/>
      <name val="Arial Nova Light"/>
      <family val="2"/>
    </font>
    <font>
      <sz val="10"/>
      <name val="Helvetica"/>
      <family val="2"/>
    </font>
    <font>
      <sz val="10"/>
      <color theme="1"/>
      <name val="Calibri"/>
      <family val="2"/>
      <scheme val="minor"/>
    </font>
    <font>
      <b/>
      <i/>
      <sz val="11"/>
      <color theme="1"/>
      <name val="Cambria"/>
      <family val="1"/>
    </font>
    <font>
      <b/>
      <sz val="11"/>
      <color theme="1"/>
      <name val="Cambria"/>
      <family val="1"/>
    </font>
    <font>
      <sz val="11"/>
      <color theme="1"/>
      <name val="Cambria"/>
      <family val="1"/>
    </font>
    <font>
      <b/>
      <vertAlign val="subscript"/>
      <sz val="11"/>
      <color theme="1"/>
      <name val="Cambria"/>
      <family val="1"/>
    </font>
    <font>
      <b/>
      <i/>
      <vertAlign val="subscript"/>
      <sz val="11"/>
      <color theme="1"/>
      <name val="Cambria"/>
      <family val="1"/>
    </font>
    <font>
      <b/>
      <vertAlign val="superscript"/>
      <sz val="11"/>
      <color theme="1"/>
      <name val="Cambria"/>
      <family val="1"/>
    </font>
    <font>
      <sz val="10"/>
      <color rgb="FF000000"/>
      <name val="Cambria"/>
      <family val="1"/>
    </font>
    <font>
      <sz val="10"/>
      <color theme="1"/>
      <name val="Cambria"/>
      <family val="1"/>
    </font>
    <font>
      <i/>
      <sz val="11"/>
      <color theme="1"/>
      <name val="Cambria"/>
      <family val="1"/>
    </font>
    <font>
      <sz val="20"/>
      <color theme="1"/>
      <name val="Calibri"/>
      <family val="2"/>
      <scheme val="minor"/>
    </font>
    <font>
      <vertAlign val="subscript"/>
      <sz val="11"/>
      <color theme="3"/>
      <name val="Arial Nova Light"/>
      <family val="2"/>
    </font>
    <font>
      <u/>
      <sz val="11"/>
      <color theme="3"/>
      <name val="Arial Nova Light"/>
      <family val="2"/>
    </font>
    <font>
      <b/>
      <sz val="9"/>
      <color theme="1"/>
      <name val="Arial Nova Light"/>
      <family val="2"/>
    </font>
  </fonts>
  <fills count="4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4"/>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9"/>
        <bgColor indexed="64"/>
      </patternFill>
    </fill>
    <fill>
      <patternFill patternType="solid">
        <fgColor rgb="FFBDD7EE"/>
        <bgColor indexed="64"/>
      </patternFill>
    </fill>
    <fill>
      <patternFill patternType="solid">
        <fgColor rgb="FF92D050"/>
        <bgColor indexed="64"/>
      </patternFill>
    </fill>
    <fill>
      <patternFill patternType="solid">
        <fgColor theme="9" tint="0.39997558519241921"/>
        <bgColor indexed="64"/>
      </patternFill>
    </fill>
    <fill>
      <patternFill patternType="solid">
        <fgColor theme="3" tint="0.79995117038483843"/>
        <bgColor indexed="64"/>
      </patternFill>
    </fill>
    <fill>
      <patternFill patternType="solid">
        <fgColor theme="4" tint="0.79995117038483843"/>
        <bgColor indexed="64"/>
      </patternFill>
    </fill>
    <fill>
      <patternFill patternType="solid">
        <fgColor rgb="FFFFC000"/>
        <bgColor indexed="64"/>
      </patternFill>
    </fill>
    <fill>
      <patternFill patternType="solid">
        <fgColor rgb="FFFFFF00"/>
        <bgColor indexed="64"/>
      </patternFill>
    </fill>
    <fill>
      <patternFill patternType="solid">
        <fgColor theme="0" tint="-0.14999847407452621"/>
        <bgColor indexed="64"/>
      </patternFill>
    </fill>
  </fills>
  <borders count="7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diagonal/>
    </border>
    <border>
      <left/>
      <right/>
      <top/>
      <bottom style="medium">
        <color indexed="64"/>
      </bottom>
      <diagonal/>
    </border>
    <border>
      <left style="thin">
        <color theme="3" tint="0.79998168889431442"/>
      </left>
      <right/>
      <top style="thin">
        <color theme="3" tint="0.79998168889431442"/>
      </top>
      <bottom/>
      <diagonal/>
    </border>
    <border>
      <left style="thin">
        <color theme="3" tint="0.79995117038483843"/>
      </left>
      <right/>
      <top style="thin">
        <color theme="3" tint="0.79995117038483843"/>
      </top>
      <bottom style="thin">
        <color theme="3" tint="0.79995117038483843"/>
      </bottom>
      <diagonal/>
    </border>
    <border>
      <left/>
      <right/>
      <top style="thin">
        <color theme="3" tint="0.79995117038483843"/>
      </top>
      <bottom style="thin">
        <color theme="3" tint="0.79995117038483843"/>
      </bottom>
      <diagonal/>
    </border>
    <border>
      <left/>
      <right/>
      <top style="thin">
        <color theme="3" tint="0.79995117038483843"/>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thin">
        <color theme="3" tint="0.79995117038483843"/>
      </bottom>
      <diagonal/>
    </border>
    <border>
      <left style="thin">
        <color theme="3" tint="0.79995117038483843"/>
      </left>
      <right/>
      <top style="thin">
        <color theme="3" tint="0.79995117038483843"/>
      </top>
      <bottom/>
      <diagonal/>
    </border>
    <border>
      <left style="thin">
        <color theme="3" tint="0.79995117038483843"/>
      </left>
      <right/>
      <top style="thin">
        <color theme="3" tint="0.79995117038483843"/>
      </top>
      <bottom style="thin">
        <color theme="3" tint="0.79992065187536243"/>
      </bottom>
      <diagonal/>
    </border>
    <border>
      <left/>
      <right/>
      <top style="thin">
        <color theme="3" tint="0.79995117038483843"/>
      </top>
      <bottom style="thin">
        <color theme="3" tint="0.79992065187536243"/>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theme="3" tint="0.79992065187536243"/>
      </left>
      <right style="thin">
        <color theme="3" tint="0.79992065187536243"/>
      </right>
      <top style="thin">
        <color theme="3" tint="0.79992065187536243"/>
      </top>
      <bottom style="thin">
        <color theme="3" tint="0.79989013336588644"/>
      </bottom>
      <diagonal/>
    </border>
    <border>
      <left style="thin">
        <color theme="3" tint="0.79992065187536243"/>
      </left>
      <right style="thin">
        <color theme="3" tint="0.79992065187536243"/>
      </right>
      <top style="thin">
        <color theme="3" tint="0.79989013336588644"/>
      </top>
      <bottom style="thin">
        <color theme="3" tint="0.79989013336588644"/>
      </bottom>
      <diagonal/>
    </border>
    <border>
      <left/>
      <right/>
      <top style="thin">
        <color theme="3" tint="0.79989013336588644"/>
      </top>
      <bottom style="thin">
        <color theme="3" tint="0.79989013336588644"/>
      </bottom>
      <diagonal/>
    </border>
    <border>
      <left/>
      <right style="thin">
        <color theme="3" tint="0.79995117038483843"/>
      </right>
      <top/>
      <bottom style="thin">
        <color theme="3" tint="0.79992065187536243"/>
      </bottom>
      <diagonal/>
    </border>
    <border>
      <left style="thin">
        <color theme="3" tint="0.79995117038483843"/>
      </left>
      <right/>
      <top style="thin">
        <color theme="3" tint="0.79992065187536243"/>
      </top>
      <bottom style="thin">
        <color theme="3" tint="0.79992065187536243"/>
      </bottom>
      <diagonal/>
    </border>
    <border>
      <left style="thin">
        <color theme="3" tint="0.79995117038483843"/>
      </left>
      <right/>
      <top style="thin">
        <color theme="3" tint="0.79992065187536243"/>
      </top>
      <bottom style="thin">
        <color theme="3" tint="0.79995117038483843"/>
      </bottom>
      <diagonal/>
    </border>
    <border>
      <left/>
      <right/>
      <top style="thin">
        <color theme="3" tint="0.79992065187536243"/>
      </top>
      <bottom style="thin">
        <color theme="3" tint="0.79992065187536243"/>
      </bottom>
      <diagonal/>
    </border>
    <border>
      <left/>
      <right style="thin">
        <color theme="3" tint="0.79995117038483843"/>
      </right>
      <top style="thin">
        <color theme="3" tint="0.79995117038483843"/>
      </top>
      <bottom style="thin">
        <color theme="3" tint="0.79995117038483843"/>
      </bottom>
      <diagonal/>
    </border>
    <border>
      <left/>
      <right style="thin">
        <color theme="3" tint="0.79995117038483843"/>
      </right>
      <top/>
      <bottom style="thin">
        <color theme="3" tint="0.79995117038483843"/>
      </bottom>
      <diagonal/>
    </border>
    <border>
      <left/>
      <right style="thin">
        <color theme="3" tint="0.79995117038483843"/>
      </right>
      <top style="thin">
        <color theme="3" tint="0.79995117038483843"/>
      </top>
      <bottom/>
      <diagonal/>
    </border>
    <border>
      <left/>
      <right/>
      <top style="thin">
        <color theme="3" tint="0.79992065187536243"/>
      </top>
      <bottom/>
      <diagonal/>
    </border>
    <border>
      <left style="thin">
        <color theme="3" tint="0.79995117038483843"/>
      </left>
      <right/>
      <top/>
      <bottom style="thin">
        <color theme="3" tint="0.79995117038483843"/>
      </bottom>
      <diagonal/>
    </border>
    <border>
      <left style="thin">
        <color theme="3" tint="0.79995117038483843"/>
      </left>
      <right/>
      <top/>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theme="3" tint="0.79995117038483843"/>
      </right>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90">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164" fontId="18"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0" borderId="0"/>
    <xf numFmtId="0" fontId="18" fillId="0" borderId="0"/>
    <xf numFmtId="0" fontId="19" fillId="0" borderId="0"/>
    <xf numFmtId="167" fontId="20" fillId="0" borderId="0" applyNumberFormat="0" applyFill="0" applyBorder="0" applyAlignment="0" applyProtection="0"/>
    <xf numFmtId="9" fontId="19" fillId="0" borderId="0" applyFont="0" applyFill="0" applyBorder="0" applyAlignment="0" applyProtection="0"/>
    <xf numFmtId="0" fontId="18" fillId="0" borderId="0"/>
  </cellStyleXfs>
  <cellXfs count="312">
    <xf numFmtId="0" fontId="0" fillId="0" borderId="0" xfId="0"/>
    <xf numFmtId="0" fontId="27" fillId="39" borderId="14" xfId="0" applyFont="1" applyFill="1" applyBorder="1" applyAlignment="1">
      <alignment vertical="center"/>
    </xf>
    <xf numFmtId="0" fontId="27" fillId="39" borderId="14" xfId="0" applyFont="1" applyFill="1" applyBorder="1" applyAlignment="1">
      <alignment vertical="center" wrapText="1"/>
    </xf>
    <xf numFmtId="0" fontId="27" fillId="39" borderId="10" xfId="0" applyFont="1" applyFill="1" applyBorder="1" applyAlignment="1">
      <alignment vertical="center" wrapText="1"/>
    </xf>
    <xf numFmtId="0" fontId="25" fillId="33" borderId="22" xfId="0" applyFont="1" applyFill="1" applyBorder="1"/>
    <xf numFmtId="0" fontId="27" fillId="39" borderId="11" xfId="0" applyFont="1" applyFill="1" applyBorder="1" applyAlignment="1">
      <alignment vertical="center"/>
    </xf>
    <xf numFmtId="0" fontId="27" fillId="39" borderId="15" xfId="0" applyFont="1" applyFill="1" applyBorder="1" applyAlignment="1">
      <alignment vertical="center"/>
    </xf>
    <xf numFmtId="0" fontId="25" fillId="33" borderId="32" xfId="0" applyFont="1" applyFill="1" applyBorder="1"/>
    <xf numFmtId="0" fontId="24" fillId="33" borderId="31" xfId="0" applyFont="1" applyFill="1" applyBorder="1" applyAlignment="1">
      <alignment horizontal="right"/>
    </xf>
    <xf numFmtId="0" fontId="25" fillId="33" borderId="34" xfId="0" applyFont="1" applyFill="1" applyBorder="1"/>
    <xf numFmtId="0" fontId="25" fillId="33" borderId="32" xfId="0" applyFont="1" applyFill="1" applyBorder="1" applyAlignment="1">
      <alignment horizontal="right"/>
    </xf>
    <xf numFmtId="0" fontId="25" fillId="33" borderId="35" xfId="0" applyFont="1" applyFill="1" applyBorder="1"/>
    <xf numFmtId="0" fontId="25" fillId="33" borderId="36" xfId="0" applyFont="1" applyFill="1" applyBorder="1"/>
    <xf numFmtId="0" fontId="26" fillId="0" borderId="0" xfId="0" applyFont="1"/>
    <xf numFmtId="170" fontId="26" fillId="0" borderId="0" xfId="0" applyNumberFormat="1" applyFont="1"/>
    <xf numFmtId="0" fontId="26" fillId="0" borderId="28" xfId="0" applyFont="1" applyBorder="1"/>
    <xf numFmtId="0" fontId="26" fillId="0" borderId="32" xfId="0" applyFont="1" applyBorder="1"/>
    <xf numFmtId="0" fontId="26" fillId="0" borderId="36" xfId="0" applyFont="1" applyBorder="1"/>
    <xf numFmtId="0" fontId="26" fillId="0" borderId="33" xfId="0" applyFont="1" applyBorder="1"/>
    <xf numFmtId="0" fontId="26" fillId="0" borderId="31" xfId="0" applyFont="1" applyBorder="1"/>
    <xf numFmtId="0" fontId="26" fillId="0" borderId="34" xfId="0" applyFont="1" applyBorder="1"/>
    <xf numFmtId="0" fontId="26" fillId="0" borderId="35" xfId="0" applyFont="1" applyBorder="1"/>
    <xf numFmtId="0" fontId="26" fillId="37" borderId="33" xfId="0" applyFont="1" applyFill="1" applyBorder="1"/>
    <xf numFmtId="0" fontId="29" fillId="37" borderId="37" xfId="0" applyFont="1" applyFill="1" applyBorder="1"/>
    <xf numFmtId="0" fontId="29" fillId="37" borderId="31" xfId="0" applyFont="1" applyFill="1" applyBorder="1"/>
    <xf numFmtId="0" fontId="26" fillId="37" borderId="41" xfId="0" applyFont="1" applyFill="1" applyBorder="1"/>
    <xf numFmtId="0" fontId="29" fillId="37" borderId="42" xfId="0" applyFont="1" applyFill="1" applyBorder="1"/>
    <xf numFmtId="0" fontId="29" fillId="37" borderId="43" xfId="0" applyFont="1" applyFill="1" applyBorder="1"/>
    <xf numFmtId="0" fontId="26" fillId="0" borderId="22" xfId="0" applyFont="1" applyBorder="1"/>
    <xf numFmtId="0" fontId="29" fillId="0" borderId="0" xfId="0" applyFont="1"/>
    <xf numFmtId="0" fontId="26" fillId="0" borderId="38" xfId="0" applyFont="1" applyBorder="1"/>
    <xf numFmtId="0" fontId="26" fillId="0" borderId="0" xfId="0" applyFont="1" applyAlignment="1">
      <alignment horizontal="center"/>
    </xf>
    <xf numFmtId="0" fontId="21" fillId="33" borderId="0" xfId="86" applyFont="1" applyFill="1" applyAlignment="1">
      <alignment vertical="center"/>
    </xf>
    <xf numFmtId="2" fontId="32" fillId="33" borderId="19" xfId="0" applyNumberFormat="1" applyFont="1" applyFill="1" applyBorder="1" applyAlignment="1" applyProtection="1">
      <alignment horizontal="right"/>
      <protection locked="0"/>
    </xf>
    <xf numFmtId="2" fontId="32" fillId="33" borderId="0" xfId="0" applyNumberFormat="1" applyFont="1" applyFill="1" applyAlignment="1" applyProtection="1">
      <alignment horizontal="right"/>
      <protection locked="0"/>
    </xf>
    <xf numFmtId="0" fontId="38" fillId="37" borderId="0" xfId="42" applyFont="1" applyFill="1" applyAlignment="1">
      <alignment vertical="center"/>
    </xf>
    <xf numFmtId="0" fontId="32" fillId="36" borderId="18" xfId="0" applyFont="1" applyFill="1" applyBorder="1"/>
    <xf numFmtId="2" fontId="32" fillId="35" borderId="19" xfId="0" applyNumberFormat="1" applyFont="1" applyFill="1" applyBorder="1" applyAlignment="1">
      <alignment horizontal="right"/>
    </xf>
    <xf numFmtId="165" fontId="32" fillId="35" borderId="19" xfId="0" applyNumberFormat="1" applyFont="1" applyFill="1" applyBorder="1" applyAlignment="1">
      <alignment horizontal="right"/>
    </xf>
    <xf numFmtId="0" fontId="32" fillId="36" borderId="0" xfId="0" applyFont="1" applyFill="1"/>
    <xf numFmtId="166" fontId="32" fillId="36" borderId="18" xfId="1" applyNumberFormat="1" applyFont="1" applyFill="1" applyBorder="1" applyProtection="1"/>
    <xf numFmtId="166" fontId="32" fillId="36" borderId="0" xfId="1" applyNumberFormat="1" applyFont="1" applyFill="1" applyBorder="1" applyProtection="1"/>
    <xf numFmtId="0" fontId="26" fillId="0" borderId="22" xfId="0" applyFont="1" applyBorder="1" applyProtection="1">
      <protection locked="0"/>
    </xf>
    <xf numFmtId="0" fontId="27" fillId="39" borderId="22" xfId="0" applyFont="1" applyFill="1" applyBorder="1" applyAlignment="1">
      <alignment vertical="center"/>
    </xf>
    <xf numFmtId="0" fontId="32" fillId="33" borderId="56" xfId="0" applyFont="1" applyFill="1" applyBorder="1" applyAlignment="1" applyProtection="1">
      <alignment horizontal="right"/>
      <protection locked="0"/>
    </xf>
    <xf numFmtId="0" fontId="0" fillId="33" borderId="0" xfId="0" applyFill="1"/>
    <xf numFmtId="0" fontId="32" fillId="33" borderId="20" xfId="0" applyFont="1" applyFill="1" applyBorder="1" applyAlignment="1" applyProtection="1">
      <alignment horizontal="right"/>
      <protection locked="0"/>
    </xf>
    <xf numFmtId="0" fontId="30" fillId="37" borderId="0" xfId="3" applyNumberFormat="1" applyFont="1" applyFill="1" applyBorder="1" applyAlignment="1" applyProtection="1">
      <alignment horizontal="center" vertical="center"/>
    </xf>
    <xf numFmtId="0" fontId="0" fillId="37" borderId="0" xfId="0" applyFill="1"/>
    <xf numFmtId="0" fontId="0" fillId="38" borderId="0" xfId="0" applyFill="1"/>
    <xf numFmtId="0" fontId="0" fillId="35" borderId="0" xfId="0" applyFill="1"/>
    <xf numFmtId="0" fontId="0" fillId="41" borderId="0" xfId="0" applyFill="1"/>
    <xf numFmtId="0" fontId="40" fillId="37" borderId="0" xfId="42" applyFont="1" applyFill="1" applyAlignment="1">
      <alignment horizontal="left" vertical="top" wrapText="1"/>
    </xf>
    <xf numFmtId="0" fontId="0" fillId="37" borderId="0" xfId="0" applyFill="1" applyAlignment="1">
      <alignment horizontal="left"/>
    </xf>
    <xf numFmtId="0" fontId="21" fillId="33" borderId="0" xfId="86" applyFont="1" applyFill="1" applyAlignment="1" applyProtection="1">
      <alignment vertical="center"/>
      <protection hidden="1"/>
    </xf>
    <xf numFmtId="0" fontId="21" fillId="33" borderId="0" xfId="86" applyFont="1" applyFill="1" applyProtection="1">
      <protection hidden="1"/>
    </xf>
    <xf numFmtId="0" fontId="21" fillId="33" borderId="0" xfId="42" applyFont="1" applyFill="1" applyProtection="1">
      <protection hidden="1"/>
    </xf>
    <xf numFmtId="0" fontId="22" fillId="0" borderId="0" xfId="0" applyFont="1" applyProtection="1">
      <protection hidden="1"/>
    </xf>
    <xf numFmtId="0" fontId="0" fillId="0" borderId="0" xfId="0" applyProtection="1">
      <protection hidden="1"/>
    </xf>
    <xf numFmtId="0" fontId="35" fillId="37" borderId="0" xfId="86" applyFont="1" applyFill="1" applyAlignment="1">
      <alignment vertical="center"/>
    </xf>
    <xf numFmtId="0" fontId="36" fillId="37" borderId="0" xfId="42" applyFont="1" applyFill="1" applyAlignment="1">
      <alignment vertical="center"/>
    </xf>
    <xf numFmtId="0" fontId="33" fillId="36" borderId="17" xfId="0" applyFont="1" applyFill="1" applyBorder="1"/>
    <xf numFmtId="0" fontId="35" fillId="37" borderId="0" xfId="42" applyFont="1" applyFill="1"/>
    <xf numFmtId="0" fontId="35" fillId="37" borderId="0" xfId="86" applyFont="1" applyFill="1" applyAlignment="1">
      <alignment horizontal="left" vertical="center"/>
    </xf>
    <xf numFmtId="0" fontId="35" fillId="37" borderId="0" xfId="86" applyFont="1" applyFill="1"/>
    <xf numFmtId="0" fontId="32" fillId="37" borderId="0" xfId="0" applyFont="1" applyFill="1" applyAlignment="1">
      <alignment horizontal="left"/>
    </xf>
    <xf numFmtId="0" fontId="32" fillId="36" borderId="24" xfId="0" applyFont="1" applyFill="1" applyBorder="1"/>
    <xf numFmtId="0" fontId="37" fillId="43" borderId="18" xfId="0" applyFont="1" applyFill="1" applyBorder="1"/>
    <xf numFmtId="0" fontId="32" fillId="36" borderId="57" xfId="0" applyFont="1" applyFill="1" applyBorder="1"/>
    <xf numFmtId="0" fontId="32" fillId="35" borderId="23" xfId="0" applyFont="1" applyFill="1" applyBorder="1" applyAlignment="1">
      <alignment horizontal="right"/>
    </xf>
    <xf numFmtId="0" fontId="32" fillId="36" borderId="50" xfId="0" applyFont="1" applyFill="1" applyBorder="1"/>
    <xf numFmtId="0" fontId="32" fillId="36" borderId="19" xfId="0" applyFont="1" applyFill="1" applyBorder="1"/>
    <xf numFmtId="0" fontId="32" fillId="36" borderId="25" xfId="0" applyFont="1" applyFill="1" applyBorder="1"/>
    <xf numFmtId="0" fontId="32" fillId="35" borderId="19" xfId="0" applyFont="1" applyFill="1" applyBorder="1" applyAlignment="1">
      <alignment horizontal="right"/>
    </xf>
    <xf numFmtId="1" fontId="32" fillId="35" borderId="19" xfId="0" applyNumberFormat="1" applyFont="1" applyFill="1" applyBorder="1" applyAlignment="1">
      <alignment horizontal="right"/>
    </xf>
    <xf numFmtId="0" fontId="37" fillId="37" borderId="0" xfId="89" applyFont="1" applyFill="1" applyAlignment="1">
      <alignment vertical="center"/>
    </xf>
    <xf numFmtId="0" fontId="37" fillId="37" borderId="0" xfId="89" applyFont="1" applyFill="1" applyAlignment="1">
      <alignment horizontal="center" vertical="center"/>
    </xf>
    <xf numFmtId="0" fontId="32" fillId="35" borderId="26" xfId="0" applyFont="1" applyFill="1" applyBorder="1" applyAlignment="1">
      <alignment horizontal="right"/>
    </xf>
    <xf numFmtId="0" fontId="32" fillId="36" borderId="26" xfId="0" applyFont="1" applyFill="1" applyBorder="1" applyAlignment="1">
      <alignment horizontal="center"/>
    </xf>
    <xf numFmtId="0" fontId="32" fillId="36" borderId="20" xfId="0" applyFont="1" applyFill="1" applyBorder="1" applyAlignment="1">
      <alignment horizontal="center"/>
    </xf>
    <xf numFmtId="169" fontId="32" fillId="35" borderId="52" xfId="0" applyNumberFormat="1" applyFont="1" applyFill="1" applyBorder="1" applyAlignment="1">
      <alignment horizontal="right"/>
    </xf>
    <xf numFmtId="0" fontId="32" fillId="36" borderId="56" xfId="0" applyFont="1" applyFill="1" applyBorder="1"/>
    <xf numFmtId="0" fontId="32" fillId="36" borderId="20" xfId="0" applyFont="1" applyFill="1" applyBorder="1"/>
    <xf numFmtId="0" fontId="32" fillId="36" borderId="51" xfId="0" applyFont="1" applyFill="1" applyBorder="1"/>
    <xf numFmtId="0" fontId="39" fillId="42" borderId="0" xfId="89" applyFont="1" applyFill="1" applyAlignment="1">
      <alignment vertical="center"/>
    </xf>
    <xf numFmtId="0" fontId="37" fillId="37" borderId="18" xfId="0" applyFont="1" applyFill="1" applyBorder="1"/>
    <xf numFmtId="0" fontId="37" fillId="43" borderId="18" xfId="0" applyFont="1" applyFill="1" applyBorder="1" applyAlignment="1">
      <alignment horizontal="left" indent="2"/>
    </xf>
    <xf numFmtId="2" fontId="39" fillId="42" borderId="58" xfId="0" applyNumberFormat="1" applyFont="1" applyFill="1" applyBorder="1"/>
    <xf numFmtId="0" fontId="32" fillId="36" borderId="57" xfId="0" applyFont="1" applyFill="1" applyBorder="1" applyAlignment="1">
      <alignment horizontal="left" indent="2"/>
    </xf>
    <xf numFmtId="0" fontId="32" fillId="36" borderId="18" xfId="0" applyFont="1" applyFill="1" applyBorder="1" applyAlignment="1">
      <alignment horizontal="left" indent="2"/>
    </xf>
    <xf numFmtId="1" fontId="39" fillId="42" borderId="58" xfId="0" applyNumberFormat="1" applyFont="1" applyFill="1" applyBorder="1"/>
    <xf numFmtId="0" fontId="32" fillId="37" borderId="57" xfId="0" applyFont="1" applyFill="1" applyBorder="1"/>
    <xf numFmtId="0" fontId="32" fillId="40" borderId="0" xfId="0" applyFont="1" applyFill="1"/>
    <xf numFmtId="2" fontId="32" fillId="35" borderId="46" xfId="0" applyNumberFormat="1" applyFont="1" applyFill="1" applyBorder="1" applyAlignment="1">
      <alignment horizontal="right"/>
    </xf>
    <xf numFmtId="2" fontId="32" fillId="35" borderId="49" xfId="0" applyNumberFormat="1" applyFont="1" applyFill="1" applyBorder="1" applyAlignment="1">
      <alignment horizontal="right"/>
    </xf>
    <xf numFmtId="2" fontId="32" fillId="35" borderId="47" xfId="0" applyNumberFormat="1" applyFont="1" applyFill="1" applyBorder="1" applyAlignment="1">
      <alignment horizontal="right"/>
    </xf>
    <xf numFmtId="2" fontId="32" fillId="35" borderId="48" xfId="0" applyNumberFormat="1" applyFont="1" applyFill="1" applyBorder="1" applyAlignment="1">
      <alignment horizontal="right"/>
    </xf>
    <xf numFmtId="0" fontId="32" fillId="35" borderId="48" xfId="0" applyFont="1" applyFill="1" applyBorder="1" applyAlignment="1">
      <alignment horizontal="right"/>
    </xf>
    <xf numFmtId="0" fontId="37" fillId="35" borderId="48" xfId="42" applyFont="1" applyFill="1" applyBorder="1" applyAlignment="1">
      <alignment horizontal="right"/>
    </xf>
    <xf numFmtId="170" fontId="32" fillId="35" borderId="48" xfId="0" applyNumberFormat="1" applyFont="1" applyFill="1" applyBorder="1" applyAlignment="1">
      <alignment horizontal="right"/>
    </xf>
    <xf numFmtId="170" fontId="37" fillId="35" borderId="48" xfId="42" applyNumberFormat="1" applyFont="1" applyFill="1" applyBorder="1" applyAlignment="1">
      <alignment horizontal="right"/>
    </xf>
    <xf numFmtId="14" fontId="40" fillId="37" borderId="0" xfId="42" applyNumberFormat="1" applyFont="1" applyFill="1" applyAlignment="1">
      <alignment horizontal="left" vertical="top"/>
    </xf>
    <xf numFmtId="0" fontId="38" fillId="37" borderId="0" xfId="42" applyFont="1" applyFill="1" applyAlignment="1">
      <alignment horizontal="left" vertical="center"/>
    </xf>
    <xf numFmtId="0" fontId="32" fillId="33" borderId="19" xfId="0" applyFont="1" applyFill="1" applyBorder="1" applyAlignment="1" applyProtection="1">
      <alignment horizontal="left"/>
      <protection locked="0"/>
    </xf>
    <xf numFmtId="0" fontId="32" fillId="36" borderId="56" xfId="0" applyFont="1" applyFill="1" applyBorder="1" applyAlignment="1">
      <alignment horizontal="center"/>
    </xf>
    <xf numFmtId="2" fontId="37" fillId="38" borderId="0" xfId="89" applyNumberFormat="1" applyFont="1" applyFill="1" applyAlignment="1">
      <alignment horizontal="center" vertical="center"/>
    </xf>
    <xf numFmtId="171" fontId="26" fillId="0" borderId="0" xfId="0" applyNumberFormat="1" applyFont="1"/>
    <xf numFmtId="2" fontId="26" fillId="0" borderId="0" xfId="0" applyNumberFormat="1" applyFont="1"/>
    <xf numFmtId="172" fontId="32" fillId="35" borderId="23" xfId="0" applyNumberFormat="1" applyFont="1" applyFill="1" applyBorder="1" applyAlignment="1">
      <alignment horizontal="right"/>
    </xf>
    <xf numFmtId="0" fontId="44" fillId="37" borderId="0" xfId="0" applyFont="1" applyFill="1"/>
    <xf numFmtId="0" fontId="35" fillId="37" borderId="0" xfId="3" applyNumberFormat="1" applyFont="1" applyFill="1" applyBorder="1" applyAlignment="1" applyProtection="1">
      <alignment horizontal="left" vertical="top" wrapText="1"/>
    </xf>
    <xf numFmtId="0" fontId="45" fillId="37" borderId="0" xfId="3" applyNumberFormat="1" applyFont="1" applyFill="1" applyBorder="1" applyAlignment="1" applyProtection="1">
      <alignment horizontal="center" vertical="center"/>
    </xf>
    <xf numFmtId="0" fontId="44" fillId="37" borderId="0" xfId="0" applyFont="1" applyFill="1" applyAlignment="1">
      <alignment vertical="top"/>
    </xf>
    <xf numFmtId="0" fontId="44" fillId="37" borderId="0" xfId="0" applyFont="1" applyFill="1" applyAlignment="1">
      <alignment vertical="top" wrapText="1"/>
    </xf>
    <xf numFmtId="0" fontId="46" fillId="33" borderId="0" xfId="86" applyFont="1" applyFill="1" applyAlignment="1">
      <alignment vertical="center"/>
    </xf>
    <xf numFmtId="0" fontId="47" fillId="0" borderId="0" xfId="0" applyFont="1"/>
    <xf numFmtId="0" fontId="48" fillId="0" borderId="33" xfId="0" applyFont="1" applyBorder="1" applyAlignment="1">
      <alignment vertical="center" wrapText="1"/>
    </xf>
    <xf numFmtId="0" fontId="49" fillId="36" borderId="37" xfId="0" applyFont="1" applyFill="1" applyBorder="1" applyAlignment="1">
      <alignment horizontal="center" vertical="center" wrapText="1"/>
    </xf>
    <xf numFmtId="0" fontId="50" fillId="0" borderId="31" xfId="0" applyFont="1" applyBorder="1" applyAlignment="1">
      <alignment horizontal="center" vertical="center" wrapText="1"/>
    </xf>
    <xf numFmtId="0" fontId="48" fillId="0" borderId="63" xfId="0" applyFont="1" applyBorder="1" applyAlignment="1">
      <alignment vertical="center" wrapText="1"/>
    </xf>
    <xf numFmtId="0" fontId="49" fillId="0" borderId="22" xfId="0" applyFont="1" applyBorder="1" applyAlignment="1">
      <alignment horizontal="center" vertical="center" wrapText="1"/>
    </xf>
    <xf numFmtId="0" fontId="48" fillId="0" borderId="41" xfId="0" applyFont="1" applyBorder="1" applyAlignment="1">
      <alignment vertical="center" wrapText="1"/>
    </xf>
    <xf numFmtId="0" fontId="50" fillId="0" borderId="63" xfId="0" applyFont="1" applyBorder="1" applyAlignment="1">
      <alignment vertical="center" wrapText="1"/>
    </xf>
    <xf numFmtId="0" fontId="50" fillId="0" borderId="41" xfId="0" applyFont="1" applyBorder="1" applyAlignment="1">
      <alignment vertical="center" wrapText="1"/>
    </xf>
    <xf numFmtId="19" fontId="0" fillId="0" borderId="34" xfId="0" applyNumberFormat="1" applyBorder="1"/>
    <xf numFmtId="0" fontId="54" fillId="0" borderId="22" xfId="0" applyFont="1" applyBorder="1" applyAlignment="1">
      <alignment horizontal="center" vertical="center" wrapText="1"/>
    </xf>
    <xf numFmtId="0" fontId="50" fillId="0" borderId="32" xfId="0" applyFont="1" applyBorder="1" applyAlignment="1">
      <alignment horizontal="center" vertical="center" wrapText="1"/>
    </xf>
    <xf numFmtId="19" fontId="0" fillId="0" borderId="35" xfId="0" applyNumberFormat="1" applyBorder="1"/>
    <xf numFmtId="0" fontId="54" fillId="0" borderId="38" xfId="0" applyFont="1" applyBorder="1" applyAlignment="1">
      <alignment horizontal="center" vertical="center" wrapText="1"/>
    </xf>
    <xf numFmtId="0" fontId="50" fillId="0" borderId="36" xfId="0" applyFont="1" applyBorder="1" applyAlignment="1">
      <alignment horizontal="center" vertical="center" wrapText="1"/>
    </xf>
    <xf numFmtId="19" fontId="0" fillId="0" borderId="0" xfId="0" applyNumberFormat="1"/>
    <xf numFmtId="0" fontId="50" fillId="0" borderId="16" xfId="0" applyFont="1" applyBorder="1" applyAlignment="1">
      <alignment vertical="center" wrapText="1"/>
    </xf>
    <xf numFmtId="0" fontId="49" fillId="0" borderId="37" xfId="0" applyFont="1" applyBorder="1" applyAlignment="1">
      <alignment vertical="center" wrapText="1"/>
    </xf>
    <xf numFmtId="0" fontId="49" fillId="0" borderId="31" xfId="0" applyFont="1" applyBorder="1" applyAlignment="1">
      <alignment vertical="center" wrapText="1"/>
    </xf>
    <xf numFmtId="0" fontId="50" fillId="0" borderId="22" xfId="0" applyFont="1" applyBorder="1" applyAlignment="1">
      <alignment vertical="center" wrapText="1"/>
    </xf>
    <xf numFmtId="0" fontId="55" fillId="0" borderId="32" xfId="0" applyFont="1" applyBorder="1" applyAlignment="1">
      <alignment horizontal="center" vertical="center" wrapText="1"/>
    </xf>
    <xf numFmtId="0" fontId="50" fillId="0" borderId="38" xfId="0" applyFont="1" applyBorder="1" applyAlignment="1">
      <alignment vertical="center" wrapText="1"/>
    </xf>
    <xf numFmtId="0" fontId="49" fillId="0" borderId="22" xfId="0" applyFont="1" applyBorder="1" applyAlignment="1">
      <alignment vertical="center" wrapText="1"/>
    </xf>
    <xf numFmtId="0" fontId="16" fillId="0" borderId="0" xfId="0" applyFont="1"/>
    <xf numFmtId="0" fontId="55" fillId="0" borderId="32" xfId="0" applyFont="1" applyBorder="1" applyAlignment="1">
      <alignment vertical="center" wrapText="1"/>
    </xf>
    <xf numFmtId="0" fontId="54" fillId="44" borderId="22" xfId="0" applyFont="1" applyFill="1" applyBorder="1" applyAlignment="1">
      <alignment horizontal="center" vertical="center" wrapText="1"/>
    </xf>
    <xf numFmtId="0" fontId="55" fillId="0" borderId="36" xfId="0" applyFont="1" applyBorder="1" applyAlignment="1">
      <alignment vertical="center" wrapText="1"/>
    </xf>
    <xf numFmtId="0" fontId="50" fillId="0" borderId="31" xfId="0" applyFont="1" applyBorder="1" applyAlignment="1">
      <alignment vertical="center" wrapText="1"/>
    </xf>
    <xf numFmtId="0" fontId="50" fillId="0" borderId="32" xfId="0" applyFont="1" applyBorder="1" applyAlignment="1">
      <alignment vertical="center" wrapText="1"/>
    </xf>
    <xf numFmtId="0" fontId="54" fillId="45" borderId="22" xfId="0" applyFont="1" applyFill="1" applyBorder="1" applyAlignment="1">
      <alignment horizontal="center" vertical="center" wrapText="1"/>
    </xf>
    <xf numFmtId="0" fontId="50" fillId="0" borderId="36" xfId="0" applyFont="1" applyBorder="1" applyAlignment="1">
      <alignment vertical="center" wrapText="1"/>
    </xf>
    <xf numFmtId="0" fontId="49" fillId="0" borderId="37" xfId="0" applyFont="1" applyBorder="1" applyAlignment="1">
      <alignment horizontal="center" vertical="center" wrapText="1"/>
    </xf>
    <xf numFmtId="0" fontId="49" fillId="36" borderId="31" xfId="0" applyFont="1" applyFill="1" applyBorder="1" applyAlignment="1">
      <alignment horizontal="center" vertical="center" wrapText="1"/>
    </xf>
    <xf numFmtId="0" fontId="48" fillId="0" borderId="34" xfId="0" applyFont="1" applyBorder="1" applyAlignment="1">
      <alignment vertical="center" wrapText="1"/>
    </xf>
    <xf numFmtId="0" fontId="50" fillId="0" borderId="34" xfId="0" applyFont="1" applyBorder="1" applyAlignment="1">
      <alignment vertical="center" wrapText="1"/>
    </xf>
    <xf numFmtId="0" fontId="54" fillId="0" borderId="32" xfId="0" applyFont="1" applyBorder="1" applyAlignment="1">
      <alignment horizontal="center" vertical="center" wrapText="1"/>
    </xf>
    <xf numFmtId="0" fontId="54" fillId="0" borderId="36" xfId="0" applyFont="1" applyBorder="1" applyAlignment="1">
      <alignment horizontal="center" vertical="center" wrapText="1"/>
    </xf>
    <xf numFmtId="0" fontId="0" fillId="46" borderId="0" xfId="0" applyFill="1"/>
    <xf numFmtId="168" fontId="1" fillId="41" borderId="0" xfId="1" applyNumberFormat="1" applyFont="1" applyFill="1" applyBorder="1" applyAlignment="1">
      <alignment horizontal="center"/>
    </xf>
    <xf numFmtId="170" fontId="0" fillId="46" borderId="0" xfId="0" quotePrefix="1" applyNumberFormat="1" applyFill="1" applyAlignment="1">
      <alignment horizontal="right"/>
    </xf>
    <xf numFmtId="170" fontId="0" fillId="41" borderId="0" xfId="0" applyNumberFormat="1" applyFill="1" applyAlignment="1">
      <alignment horizontal="center" vertical="center"/>
    </xf>
    <xf numFmtId="43" fontId="0" fillId="41" borderId="0" xfId="1" applyFont="1" applyFill="1" applyAlignment="1">
      <alignment horizontal="center" vertical="center"/>
    </xf>
    <xf numFmtId="43" fontId="0" fillId="45" borderId="0" xfId="1" applyFont="1" applyFill="1" applyAlignment="1">
      <alignment horizontal="center" vertical="center"/>
    </xf>
    <xf numFmtId="1" fontId="32" fillId="35" borderId="19" xfId="1" applyNumberFormat="1" applyFont="1" applyFill="1" applyBorder="1" applyAlignment="1" applyProtection="1">
      <alignment horizontal="right"/>
    </xf>
    <xf numFmtId="2" fontId="39" fillId="42" borderId="68" xfId="0" applyNumberFormat="1" applyFont="1" applyFill="1" applyBorder="1" applyAlignment="1">
      <alignment horizontal="right"/>
    </xf>
    <xf numFmtId="20" fontId="26" fillId="0" borderId="33" xfId="0" applyNumberFormat="1" applyFont="1" applyBorder="1"/>
    <xf numFmtId="0" fontId="25" fillId="33" borderId="31" xfId="0" applyFont="1" applyFill="1" applyBorder="1"/>
    <xf numFmtId="171" fontId="26" fillId="0" borderId="34" xfId="0" applyNumberFormat="1" applyFont="1" applyBorder="1"/>
    <xf numFmtId="171" fontId="26" fillId="0" borderId="35" xfId="0" applyNumberFormat="1" applyFont="1" applyBorder="1"/>
    <xf numFmtId="170" fontId="26" fillId="0" borderId="69" xfId="0" applyNumberFormat="1" applyFont="1" applyBorder="1"/>
    <xf numFmtId="1" fontId="21" fillId="35" borderId="37" xfId="42" applyNumberFormat="1" applyFont="1" applyFill="1" applyBorder="1"/>
    <xf numFmtId="170" fontId="26" fillId="0" borderId="32" xfId="0" applyNumberFormat="1" applyFont="1" applyBorder="1"/>
    <xf numFmtId="170" fontId="26" fillId="0" borderId="36" xfId="0" applyNumberFormat="1" applyFont="1" applyBorder="1"/>
    <xf numFmtId="0" fontId="26" fillId="0" borderId="62" xfId="0" applyFont="1" applyBorder="1"/>
    <xf numFmtId="0" fontId="26" fillId="0" borderId="69" xfId="0" applyFont="1" applyBorder="1"/>
    <xf numFmtId="170" fontId="26" fillId="0" borderId="70" xfId="0" applyNumberFormat="1" applyFont="1" applyBorder="1"/>
    <xf numFmtId="0" fontId="28" fillId="0" borderId="22" xfId="0" applyFont="1" applyBorder="1" applyAlignment="1">
      <alignment vertical="center"/>
    </xf>
    <xf numFmtId="0" fontId="28" fillId="0" borderId="32" xfId="0" applyFont="1" applyBorder="1" applyAlignment="1">
      <alignment vertical="center"/>
    </xf>
    <xf numFmtId="0" fontId="28" fillId="0" borderId="38" xfId="0" applyFont="1" applyBorder="1" applyAlignment="1">
      <alignment vertical="center"/>
    </xf>
    <xf numFmtId="0" fontId="28" fillId="0" borderId="36" xfId="0" applyFont="1" applyBorder="1" applyAlignment="1">
      <alignment vertical="center"/>
    </xf>
    <xf numFmtId="0" fontId="28" fillId="0" borderId="34" xfId="0" applyFont="1" applyBorder="1" applyAlignment="1">
      <alignment vertical="center"/>
    </xf>
    <xf numFmtId="0" fontId="28" fillId="0" borderId="35" xfId="0" applyFont="1" applyBorder="1" applyAlignment="1">
      <alignment vertical="center"/>
    </xf>
    <xf numFmtId="0" fontId="28" fillId="0" borderId="41" xfId="0" applyFont="1" applyBorder="1" applyAlignment="1">
      <alignment vertical="center"/>
    </xf>
    <xf numFmtId="0" fontId="28" fillId="0" borderId="42" xfId="0" applyFont="1" applyBorder="1" applyAlignment="1">
      <alignment vertical="center"/>
    </xf>
    <xf numFmtId="0" fontId="28" fillId="0" borderId="43" xfId="0" applyFont="1" applyBorder="1" applyAlignment="1">
      <alignment vertical="center"/>
    </xf>
    <xf numFmtId="0" fontId="24" fillId="33" borderId="34" xfId="0" applyFont="1" applyFill="1" applyBorder="1"/>
    <xf numFmtId="0" fontId="26" fillId="33" borderId="32" xfId="0" applyFont="1" applyFill="1" applyBorder="1"/>
    <xf numFmtId="173" fontId="40" fillId="37" borderId="0" xfId="42" applyNumberFormat="1" applyFont="1" applyFill="1" applyAlignment="1">
      <alignment horizontal="left" vertical="top"/>
    </xf>
    <xf numFmtId="0" fontId="32" fillId="36" borderId="26" xfId="0" applyFont="1" applyFill="1" applyBorder="1" applyAlignment="1">
      <alignment horizontal="right"/>
    </xf>
    <xf numFmtId="0" fontId="32" fillId="33" borderId="26" xfId="0" applyFont="1" applyFill="1" applyBorder="1" applyAlignment="1" applyProtection="1">
      <alignment horizontal="right"/>
      <protection locked="0"/>
    </xf>
    <xf numFmtId="165" fontId="37" fillId="43" borderId="19" xfId="0" applyNumberFormat="1" applyFont="1" applyFill="1" applyBorder="1" applyAlignment="1">
      <alignment horizontal="right"/>
    </xf>
    <xf numFmtId="165" fontId="32" fillId="35" borderId="26" xfId="0" applyNumberFormat="1" applyFont="1" applyFill="1" applyBorder="1" applyAlignment="1">
      <alignment horizontal="right"/>
    </xf>
    <xf numFmtId="0" fontId="32" fillId="36" borderId="56" xfId="0" applyFont="1" applyFill="1" applyBorder="1" applyAlignment="1">
      <alignment horizontal="right"/>
    </xf>
    <xf numFmtId="0" fontId="32" fillId="36" borderId="52" xfId="0" applyFont="1" applyFill="1" applyBorder="1" applyAlignment="1">
      <alignment horizontal="right"/>
    </xf>
    <xf numFmtId="165" fontId="37" fillId="43" borderId="20" xfId="0" applyNumberFormat="1" applyFont="1" applyFill="1" applyBorder="1" applyAlignment="1">
      <alignment horizontal="right"/>
    </xf>
    <xf numFmtId="165" fontId="32" fillId="33" borderId="19" xfId="0" applyNumberFormat="1" applyFont="1" applyFill="1" applyBorder="1" applyAlignment="1" applyProtection="1">
      <alignment horizontal="right"/>
      <protection locked="0"/>
    </xf>
    <xf numFmtId="0" fontId="32" fillId="0" borderId="0" xfId="0" applyFont="1" applyProtection="1">
      <protection locked="0"/>
    </xf>
    <xf numFmtId="0" fontId="37" fillId="33" borderId="0" xfId="86" applyFont="1" applyFill="1" applyProtection="1">
      <protection hidden="1"/>
    </xf>
    <xf numFmtId="0" fontId="37" fillId="33" borderId="0" xfId="89" applyFont="1" applyFill="1" applyProtection="1">
      <protection hidden="1"/>
    </xf>
    <xf numFmtId="0" fontId="32" fillId="33" borderId="0" xfId="0" applyFont="1" applyFill="1" applyProtection="1">
      <protection hidden="1"/>
    </xf>
    <xf numFmtId="0" fontId="37" fillId="33" borderId="0" xfId="42" applyFont="1" applyFill="1" applyProtection="1">
      <protection hidden="1"/>
    </xf>
    <xf numFmtId="0" fontId="32" fillId="46" borderId="0" xfId="0" applyFont="1" applyFill="1"/>
    <xf numFmtId="168" fontId="32" fillId="41" borderId="0" xfId="1" applyNumberFormat="1" applyFont="1" applyFill="1" applyBorder="1" applyAlignment="1">
      <alignment horizontal="center"/>
    </xf>
    <xf numFmtId="1" fontId="32" fillId="46" borderId="0" xfId="1" applyNumberFormat="1" applyFont="1" applyFill="1" applyAlignment="1">
      <alignment horizontal="center" vertical="center"/>
    </xf>
    <xf numFmtId="171" fontId="32" fillId="41" borderId="0" xfId="0" applyNumberFormat="1" applyFont="1" applyFill="1" applyAlignment="1">
      <alignment horizontal="center" vertical="center"/>
    </xf>
    <xf numFmtId="170" fontId="32" fillId="41" borderId="0" xfId="0" applyNumberFormat="1" applyFont="1" applyFill="1" applyAlignment="1">
      <alignment horizontal="center" vertical="center"/>
    </xf>
    <xf numFmtId="170" fontId="32" fillId="46" borderId="0" xfId="0" quotePrefix="1" applyNumberFormat="1" applyFont="1" applyFill="1" applyAlignment="1">
      <alignment horizontal="right"/>
    </xf>
    <xf numFmtId="0" fontId="32" fillId="0" borderId="0" xfId="0" applyFont="1" applyProtection="1">
      <protection hidden="1"/>
    </xf>
    <xf numFmtId="14" fontId="38" fillId="37" borderId="0" xfId="42" applyNumberFormat="1" applyFont="1" applyFill="1" applyAlignment="1">
      <alignment horizontal="left" vertical="top"/>
    </xf>
    <xf numFmtId="1" fontId="38" fillId="37" borderId="0" xfId="42" applyNumberFormat="1" applyFont="1" applyFill="1" applyAlignment="1">
      <alignment horizontal="left" vertical="top"/>
    </xf>
    <xf numFmtId="0" fontId="60" fillId="37" borderId="0" xfId="0" applyFont="1" applyFill="1" applyAlignment="1">
      <alignment horizontal="left"/>
    </xf>
    <xf numFmtId="165" fontId="32" fillId="35" borderId="26" xfId="1" applyNumberFormat="1" applyFont="1" applyFill="1" applyBorder="1" applyAlignment="1" applyProtection="1">
      <alignment horizontal="right"/>
    </xf>
    <xf numFmtId="0" fontId="39" fillId="42" borderId="0" xfId="0" applyFont="1" applyFill="1"/>
    <xf numFmtId="2" fontId="39" fillId="42" borderId="0" xfId="0" applyNumberFormat="1" applyFont="1" applyFill="1"/>
    <xf numFmtId="0" fontId="39" fillId="42" borderId="0" xfId="0" applyFont="1" applyFill="1" applyAlignment="1">
      <alignment horizontal="right"/>
    </xf>
    <xf numFmtId="165" fontId="39" fillId="42" borderId="0" xfId="0" applyNumberFormat="1" applyFont="1" applyFill="1"/>
    <xf numFmtId="165" fontId="39" fillId="42" borderId="0" xfId="0" applyNumberFormat="1" applyFont="1" applyFill="1" applyAlignment="1">
      <alignment horizontal="right"/>
    </xf>
    <xf numFmtId="2" fontId="39" fillId="42" borderId="0" xfId="0" applyNumberFormat="1" applyFont="1" applyFill="1" applyAlignment="1">
      <alignment horizontal="left" wrapText="1"/>
    </xf>
    <xf numFmtId="0" fontId="39" fillId="42" borderId="0" xfId="0" applyFont="1" applyFill="1" applyAlignment="1">
      <alignment horizontal="left" wrapText="1"/>
    </xf>
    <xf numFmtId="0" fontId="39" fillId="42" borderId="0" xfId="0" applyFont="1" applyFill="1" applyAlignment="1">
      <alignment horizontal="left"/>
    </xf>
    <xf numFmtId="0" fontId="39" fillId="42" borderId="0" xfId="89" applyFont="1" applyFill="1" applyAlignment="1">
      <alignment horizontal="center" vertical="center"/>
    </xf>
    <xf numFmtId="2" fontId="39" fillId="42" borderId="0" xfId="0" applyNumberFormat="1" applyFont="1" applyFill="1" applyAlignment="1">
      <alignment horizontal="right"/>
    </xf>
    <xf numFmtId="1" fontId="39" fillId="42" borderId="0" xfId="0" applyNumberFormat="1" applyFont="1" applyFill="1" applyAlignment="1">
      <alignment horizontal="right"/>
    </xf>
    <xf numFmtId="0" fontId="39" fillId="42" borderId="0" xfId="89" applyFont="1" applyFill="1" applyAlignment="1">
      <alignment horizontal="left" vertical="center" wrapText="1"/>
    </xf>
    <xf numFmtId="0" fontId="39" fillId="42" borderId="0" xfId="42" applyFont="1" applyFill="1"/>
    <xf numFmtId="2" fontId="39" fillId="42" borderId="68" xfId="0" applyNumberFormat="1" applyFont="1" applyFill="1" applyBorder="1" applyAlignment="1">
      <alignment horizontal="left" wrapText="1"/>
    </xf>
    <xf numFmtId="0" fontId="32" fillId="33" borderId="19" xfId="0" applyFont="1" applyFill="1" applyBorder="1" applyAlignment="1" applyProtection="1">
      <alignment horizontal="right"/>
      <protection locked="0"/>
    </xf>
    <xf numFmtId="0" fontId="45" fillId="34" borderId="0" xfId="3" applyNumberFormat="1" applyFont="1" applyFill="1" applyBorder="1" applyAlignment="1" applyProtection="1">
      <alignment horizontal="center" vertical="center"/>
    </xf>
    <xf numFmtId="0" fontId="30" fillId="34" borderId="0" xfId="3" applyNumberFormat="1" applyFont="1" applyFill="1" applyBorder="1" applyAlignment="1" applyProtection="1">
      <alignment horizontal="center" vertical="center"/>
    </xf>
    <xf numFmtId="0" fontId="30" fillId="34" borderId="0" xfId="3" applyNumberFormat="1" applyFont="1" applyFill="1" applyBorder="1" applyAlignment="1" applyProtection="1">
      <alignment horizontal="left" vertical="center"/>
    </xf>
    <xf numFmtId="0" fontId="40" fillId="37" borderId="0" xfId="42" applyFont="1" applyFill="1" applyAlignment="1">
      <alignment horizontal="left" vertical="top" wrapText="1"/>
    </xf>
    <xf numFmtId="0" fontId="38" fillId="37" borderId="0" xfId="42" applyFont="1" applyFill="1" applyAlignment="1">
      <alignment horizontal="left" vertical="center"/>
    </xf>
    <xf numFmtId="0" fontId="57" fillId="0" borderId="0" xfId="0" applyFont="1" applyAlignment="1" applyProtection="1">
      <alignment horizontal="center"/>
      <protection hidden="1"/>
    </xf>
    <xf numFmtId="0" fontId="30" fillId="34" borderId="0" xfId="87" applyNumberFormat="1" applyFont="1" applyFill="1" applyBorder="1" applyAlignment="1" applyProtection="1">
      <alignment horizontal="center" vertical="center"/>
    </xf>
    <xf numFmtId="0" fontId="32" fillId="38" borderId="0" xfId="0" applyFont="1" applyFill="1" applyAlignment="1">
      <alignment horizontal="left"/>
    </xf>
    <xf numFmtId="0" fontId="32" fillId="35" borderId="0" xfId="0" applyFont="1" applyFill="1" applyAlignment="1">
      <alignment horizontal="left" vertical="top" wrapText="1"/>
    </xf>
    <xf numFmtId="0" fontId="40" fillId="37" borderId="0" xfId="42" applyFont="1" applyFill="1" applyAlignment="1">
      <alignment horizontal="center" vertical="center" wrapText="1"/>
    </xf>
    <xf numFmtId="0" fontId="33" fillId="33" borderId="0" xfId="0" applyFont="1" applyFill="1" applyAlignment="1" applyProtection="1">
      <alignment horizontal="left"/>
      <protection locked="0"/>
    </xf>
    <xf numFmtId="0" fontId="33" fillId="33" borderId="19" xfId="0" quotePrefix="1" applyFont="1" applyFill="1" applyBorder="1" applyAlignment="1" applyProtection="1">
      <alignment horizontal="left"/>
      <protection locked="0"/>
    </xf>
    <xf numFmtId="0" fontId="33" fillId="33" borderId="19" xfId="0" applyFont="1" applyFill="1" applyBorder="1" applyAlignment="1" applyProtection="1">
      <alignment horizontal="left"/>
      <protection locked="0"/>
    </xf>
    <xf numFmtId="14" fontId="33" fillId="33" borderId="19" xfId="0" applyNumberFormat="1" applyFont="1" applyFill="1" applyBorder="1" applyAlignment="1" applyProtection="1">
      <alignment horizontal="left"/>
      <protection locked="0"/>
    </xf>
    <xf numFmtId="0" fontId="32" fillId="0" borderId="0" xfId="0" applyFont="1" applyAlignment="1" applyProtection="1">
      <alignment horizontal="center"/>
      <protection hidden="1"/>
    </xf>
    <xf numFmtId="0" fontId="37" fillId="38" borderId="23" xfId="89" applyFont="1" applyFill="1" applyBorder="1" applyAlignment="1">
      <alignment horizontal="center" vertical="center"/>
    </xf>
    <xf numFmtId="0" fontId="37" fillId="38" borderId="0" xfId="89" applyFont="1" applyFill="1" applyAlignment="1">
      <alignment horizontal="center" vertical="center"/>
    </xf>
    <xf numFmtId="170" fontId="39" fillId="42" borderId="0" xfId="0" applyNumberFormat="1" applyFont="1" applyFill="1" applyAlignment="1">
      <alignment horizontal="center"/>
    </xf>
    <xf numFmtId="170" fontId="39" fillId="42" borderId="68" xfId="0" applyNumberFormat="1" applyFont="1" applyFill="1" applyBorder="1" applyAlignment="1">
      <alignment horizontal="center"/>
    </xf>
    <xf numFmtId="0" fontId="39" fillId="42" borderId="0" xfId="0" applyFont="1" applyFill="1" applyAlignment="1">
      <alignment horizontal="center"/>
    </xf>
    <xf numFmtId="168" fontId="32" fillId="35" borderId="23" xfId="1" applyNumberFormat="1" applyFont="1" applyFill="1" applyBorder="1" applyAlignment="1" applyProtection="1">
      <alignment horizontal="center"/>
    </xf>
    <xf numFmtId="168" fontId="32" fillId="35" borderId="54" xfId="1" applyNumberFormat="1" applyFont="1" applyFill="1" applyBorder="1" applyAlignment="1" applyProtection="1">
      <alignment horizontal="center"/>
    </xf>
    <xf numFmtId="168" fontId="32" fillId="35" borderId="20" xfId="1" applyNumberFormat="1" applyFont="1" applyFill="1" applyBorder="1" applyAlignment="1" applyProtection="1">
      <alignment horizontal="center"/>
    </xf>
    <xf numFmtId="168" fontId="32" fillId="35" borderId="55" xfId="1" applyNumberFormat="1" applyFont="1" applyFill="1" applyBorder="1" applyAlignment="1" applyProtection="1">
      <alignment horizontal="center"/>
    </xf>
    <xf numFmtId="168" fontId="32" fillId="41" borderId="20" xfId="1" applyNumberFormat="1" applyFont="1" applyFill="1" applyBorder="1" applyAlignment="1" applyProtection="1">
      <alignment horizontal="center"/>
    </xf>
    <xf numFmtId="168" fontId="32" fillId="41" borderId="55" xfId="1" applyNumberFormat="1" applyFont="1" applyFill="1" applyBorder="1" applyAlignment="1" applyProtection="1">
      <alignment horizontal="center"/>
    </xf>
    <xf numFmtId="168" fontId="32" fillId="35" borderId="19" xfId="1" applyNumberFormat="1" applyFont="1" applyFill="1" applyBorder="1" applyAlignment="1" applyProtection="1">
      <alignment horizontal="center"/>
    </xf>
    <xf numFmtId="168" fontId="32" fillId="35" borderId="53" xfId="1" applyNumberFormat="1" applyFont="1" applyFill="1" applyBorder="1" applyAlignment="1" applyProtection="1">
      <alignment horizontal="center"/>
    </xf>
    <xf numFmtId="168" fontId="32" fillId="41" borderId="0" xfId="1" applyNumberFormat="1" applyFont="1" applyFill="1" applyBorder="1" applyAlignment="1" applyProtection="1">
      <alignment horizontal="center"/>
    </xf>
    <xf numFmtId="0" fontId="31" fillId="34" borderId="0" xfId="87" applyNumberFormat="1" applyFont="1" applyFill="1" applyBorder="1" applyAlignment="1" applyProtection="1">
      <alignment horizontal="center" vertical="center"/>
    </xf>
    <xf numFmtId="0" fontId="28" fillId="0" borderId="22" xfId="0" applyFont="1" applyBorder="1" applyAlignment="1">
      <alignment vertical="center"/>
    </xf>
    <xf numFmtId="0" fontId="27" fillId="39" borderId="39" xfId="0" applyFont="1" applyFill="1" applyBorder="1" applyAlignment="1">
      <alignment horizontal="center" vertical="center"/>
    </xf>
    <xf numFmtId="0" fontId="27" fillId="39" borderId="40" xfId="0" applyFont="1" applyFill="1" applyBorder="1" applyAlignment="1">
      <alignment horizontal="center" vertical="center"/>
    </xf>
    <xf numFmtId="0" fontId="27" fillId="39" borderId="27" xfId="0" applyFont="1" applyFill="1" applyBorder="1" applyAlignment="1">
      <alignment horizontal="center" vertical="center"/>
    </xf>
    <xf numFmtId="0" fontId="27" fillId="39" borderId="28" xfId="0" applyFont="1" applyFill="1" applyBorder="1" applyAlignment="1">
      <alignment horizontal="center" vertical="center"/>
    </xf>
    <xf numFmtId="0" fontId="27" fillId="39" borderId="21" xfId="0" applyFont="1" applyFill="1" applyBorder="1" applyAlignment="1">
      <alignment horizontal="center" vertical="center"/>
    </xf>
    <xf numFmtId="0" fontId="26" fillId="37" borderId="27" xfId="0" applyFont="1" applyFill="1" applyBorder="1" applyAlignment="1">
      <alignment horizontal="center"/>
    </xf>
    <xf numFmtId="0" fontId="26" fillId="37" borderId="21" xfId="0" applyFont="1" applyFill="1" applyBorder="1" applyAlignment="1">
      <alignment horizontal="center"/>
    </xf>
    <xf numFmtId="0" fontId="27" fillId="39" borderId="44" xfId="0" applyFont="1" applyFill="1" applyBorder="1" applyAlignment="1">
      <alignment horizontal="center" vertical="center"/>
    </xf>
    <xf numFmtId="0" fontId="27" fillId="39" borderId="45" xfId="0" applyFont="1" applyFill="1" applyBorder="1" applyAlignment="1">
      <alignment horizontal="center" vertical="center"/>
    </xf>
    <xf numFmtId="0" fontId="28" fillId="0" borderId="38" xfId="0" applyFont="1" applyBorder="1" applyAlignment="1">
      <alignment vertical="center"/>
    </xf>
    <xf numFmtId="0" fontId="27" fillId="39" borderId="29" xfId="0" applyFont="1" applyFill="1" applyBorder="1" applyAlignment="1">
      <alignment horizontal="center" vertical="center"/>
    </xf>
    <xf numFmtId="0" fontId="27" fillId="39" borderId="30" xfId="0" applyFont="1" applyFill="1" applyBorder="1" applyAlignment="1">
      <alignment horizontal="center" vertical="center"/>
    </xf>
    <xf numFmtId="0" fontId="27" fillId="39" borderId="12" xfId="0" applyFont="1" applyFill="1" applyBorder="1" applyAlignment="1">
      <alignment horizontal="center" vertical="center"/>
    </xf>
    <xf numFmtId="0" fontId="27" fillId="39" borderId="13" xfId="0" applyFont="1" applyFill="1" applyBorder="1" applyAlignment="1">
      <alignment horizontal="center" vertical="center"/>
    </xf>
    <xf numFmtId="0" fontId="27" fillId="39" borderId="12" xfId="0" applyFont="1" applyFill="1" applyBorder="1" applyAlignment="1">
      <alignment vertical="center"/>
    </xf>
    <xf numFmtId="0" fontId="27" fillId="39" borderId="13" xfId="0" applyFont="1" applyFill="1" applyBorder="1" applyAlignment="1">
      <alignment vertical="center"/>
    </xf>
    <xf numFmtId="0" fontId="49" fillId="0" borderId="22" xfId="0" applyFont="1" applyBorder="1" applyAlignment="1">
      <alignment horizontal="center" vertical="center" wrapText="1"/>
    </xf>
    <xf numFmtId="0" fontId="49" fillId="0" borderId="32" xfId="0" applyFont="1" applyBorder="1" applyAlignment="1">
      <alignment horizontal="center" vertical="center" wrapText="1"/>
    </xf>
    <xf numFmtId="0" fontId="50" fillId="0" borderId="0" xfId="0" applyFont="1" applyAlignment="1">
      <alignment horizontal="center" vertical="center" wrapText="1"/>
    </xf>
    <xf numFmtId="0" fontId="48" fillId="0" borderId="66" xfId="0" applyFont="1" applyBorder="1" applyAlignment="1">
      <alignment horizontal="center" vertical="center" wrapText="1"/>
    </xf>
    <xf numFmtId="0" fontId="48" fillId="0" borderId="59" xfId="0" applyFont="1" applyBorder="1" applyAlignment="1">
      <alignment horizontal="center" vertical="center" wrapText="1"/>
    </xf>
    <xf numFmtId="0" fontId="48" fillId="0" borderId="67" xfId="0" applyFont="1" applyBorder="1" applyAlignment="1">
      <alignment horizontal="center" vertical="center" wrapText="1"/>
    </xf>
    <xf numFmtId="0" fontId="49" fillId="0" borderId="66" xfId="0" applyFont="1" applyBorder="1" applyAlignment="1">
      <alignment horizontal="center" vertical="center" wrapText="1"/>
    </xf>
    <xf numFmtId="0" fontId="49" fillId="0" borderId="59" xfId="0" applyFont="1" applyBorder="1" applyAlignment="1">
      <alignment horizontal="center" vertical="center" wrapText="1"/>
    </xf>
    <xf numFmtId="0" fontId="49" fillId="0" borderId="67" xfId="0" applyFont="1" applyBorder="1" applyAlignment="1">
      <alignment horizontal="center" vertical="center" wrapText="1"/>
    </xf>
    <xf numFmtId="0" fontId="49" fillId="36" borderId="37" xfId="0" applyFont="1" applyFill="1" applyBorder="1" applyAlignment="1">
      <alignment horizontal="center" vertical="center" wrapText="1"/>
    </xf>
    <xf numFmtId="0" fontId="48" fillId="0" borderId="22" xfId="0" applyFont="1" applyBorder="1" applyAlignment="1">
      <alignment horizontal="center" vertical="center" wrapText="1"/>
    </xf>
    <xf numFmtId="0" fontId="48" fillId="0" borderId="32" xfId="0" applyFont="1" applyBorder="1" applyAlignment="1">
      <alignment horizontal="center" vertical="center" wrapText="1"/>
    </xf>
    <xf numFmtId="0" fontId="49" fillId="0" borderId="64" xfId="0" applyFont="1" applyBorder="1" applyAlignment="1">
      <alignment vertical="center" wrapText="1"/>
    </xf>
    <xf numFmtId="0" fontId="49" fillId="0" borderId="42" xfId="0" applyFont="1" applyBorder="1" applyAlignment="1">
      <alignment vertical="center" wrapText="1"/>
    </xf>
    <xf numFmtId="0" fontId="50" fillId="0" borderId="65" xfId="0" applyFont="1" applyBorder="1" applyAlignment="1">
      <alignment vertical="center" wrapText="1"/>
    </xf>
    <xf numFmtId="0" fontId="50" fillId="0" borderId="43" xfId="0" applyFont="1" applyBorder="1" applyAlignment="1">
      <alignment vertical="center" wrapText="1"/>
    </xf>
    <xf numFmtId="0" fontId="49" fillId="36" borderId="60" xfId="0" applyFont="1" applyFill="1" applyBorder="1" applyAlignment="1">
      <alignment horizontal="center" vertical="center" wrapText="1"/>
    </xf>
    <xf numFmtId="0" fontId="49" fillId="36" borderId="61" xfId="0" applyFont="1" applyFill="1" applyBorder="1" applyAlignment="1">
      <alignment horizontal="center" vertical="center" wrapText="1"/>
    </xf>
    <xf numFmtId="0" fontId="49" fillId="36" borderId="62" xfId="0" applyFont="1" applyFill="1" applyBorder="1" applyAlignment="1">
      <alignment horizontal="center" vertical="center" wrapText="1"/>
    </xf>
    <xf numFmtId="0" fontId="49" fillId="0" borderId="65" xfId="0" applyFont="1" applyBorder="1" applyAlignment="1">
      <alignment vertical="center" wrapText="1"/>
    </xf>
    <xf numFmtId="0" fontId="49" fillId="0" borderId="43" xfId="0" applyFont="1" applyBorder="1" applyAlignment="1">
      <alignment vertical="center" wrapText="1"/>
    </xf>
    <xf numFmtId="0" fontId="50" fillId="0" borderId="16" xfId="0" applyFont="1" applyBorder="1" applyAlignment="1">
      <alignment vertical="center" wrapText="1"/>
    </xf>
    <xf numFmtId="0" fontId="49" fillId="0" borderId="64" xfId="0" applyFont="1" applyBorder="1" applyAlignment="1">
      <alignment horizontal="center" vertical="center" wrapText="1"/>
    </xf>
    <xf numFmtId="0" fontId="49" fillId="0" borderId="42" xfId="0" applyFont="1" applyBorder="1" applyAlignment="1">
      <alignment horizontal="center" vertical="center" wrapText="1"/>
    </xf>
    <xf numFmtId="0" fontId="50" fillId="0" borderId="65" xfId="0" applyFont="1" applyBorder="1" applyAlignment="1">
      <alignment horizontal="center" vertical="center" wrapText="1"/>
    </xf>
    <xf numFmtId="0" fontId="50" fillId="0" borderId="43" xfId="0" applyFont="1" applyBorder="1" applyAlignment="1">
      <alignment horizontal="center" vertical="center" wrapText="1"/>
    </xf>
    <xf numFmtId="165" fontId="39" fillId="42" borderId="0" xfId="0" applyNumberFormat="1" applyFont="1" applyFill="1" applyBorder="1"/>
    <xf numFmtId="0" fontId="39" fillId="42" borderId="0" xfId="0" applyFont="1" applyFill="1" applyBorder="1" applyAlignment="1">
      <alignment horizontal="left"/>
    </xf>
    <xf numFmtId="0" fontId="39" fillId="42" borderId="0" xfId="42" applyFont="1" applyFill="1" applyBorder="1"/>
    <xf numFmtId="165" fontId="39" fillId="42" borderId="0" xfId="0" applyNumberFormat="1" applyFont="1" applyFill="1" applyBorder="1" applyAlignment="1">
      <alignment horizontal="right"/>
    </xf>
    <xf numFmtId="0" fontId="39" fillId="42" borderId="0" xfId="0" applyFont="1" applyFill="1" applyBorder="1" applyAlignment="1">
      <alignment horizontal="right"/>
    </xf>
    <xf numFmtId="0" fontId="39" fillId="42" borderId="0" xfId="0" applyFont="1" applyFill="1" applyBorder="1"/>
    <xf numFmtId="2" fontId="39" fillId="42" borderId="0" xfId="0" applyNumberFormat="1" applyFont="1" applyFill="1" applyBorder="1"/>
    <xf numFmtId="0" fontId="39" fillId="42" borderId="0" xfId="89" applyFont="1" applyFill="1" applyBorder="1" applyAlignment="1">
      <alignment horizontal="center" vertical="center"/>
    </xf>
    <xf numFmtId="0" fontId="39" fillId="42" borderId="0" xfId="89" applyFont="1" applyFill="1" applyBorder="1" applyAlignment="1">
      <alignment vertical="center"/>
    </xf>
    <xf numFmtId="2" fontId="39" fillId="42" borderId="0" xfId="0" applyNumberFormat="1" applyFont="1" applyFill="1" applyBorder="1" applyAlignment="1">
      <alignment horizontal="left" wrapText="1"/>
    </xf>
    <xf numFmtId="2" fontId="39" fillId="42" borderId="0" xfId="0" applyNumberFormat="1" applyFont="1" applyFill="1" applyBorder="1" applyAlignment="1">
      <alignment horizontal="right"/>
    </xf>
    <xf numFmtId="1" fontId="39" fillId="42" borderId="0" xfId="0" applyNumberFormat="1" applyFont="1" applyFill="1" applyBorder="1" applyAlignment="1">
      <alignment horizontal="right"/>
    </xf>
    <xf numFmtId="0" fontId="39" fillId="42" borderId="0" xfId="89" applyFont="1" applyFill="1" applyBorder="1" applyAlignment="1">
      <alignment horizontal="left" vertical="center" wrapText="1"/>
    </xf>
    <xf numFmtId="170" fontId="39" fillId="42" borderId="0" xfId="0" applyNumberFormat="1" applyFont="1" applyFill="1" applyBorder="1" applyAlignment="1">
      <alignment horizontal="center"/>
    </xf>
    <xf numFmtId="0" fontId="39" fillId="42" borderId="0" xfId="0" applyFont="1" applyFill="1" applyBorder="1" applyAlignment="1">
      <alignment horizontal="center"/>
    </xf>
    <xf numFmtId="0" fontId="39" fillId="42" borderId="0" xfId="0" applyFont="1" applyFill="1" applyBorder="1" applyAlignment="1">
      <alignment horizontal="left" wrapText="1"/>
    </xf>
    <xf numFmtId="0" fontId="37" fillId="33" borderId="19" xfId="0" applyFont="1" applyFill="1" applyBorder="1" applyAlignment="1" applyProtection="1">
      <alignment horizontal="right"/>
      <protection locked="0"/>
    </xf>
  </cellXfs>
  <cellStyles count="90">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2" builtinId="22" customBuiltin="1"/>
    <cellStyle name="Controlecel" xfId="14" builtinId="23" customBuiltin="1"/>
    <cellStyle name="Gekoppelde cel" xfId="13" builtinId="24" customBuiltin="1"/>
    <cellStyle name="Goed" xfId="7" builtinId="26" customBuiltin="1"/>
    <cellStyle name="Invoer" xfId="10" builtinId="20" customBuiltin="1"/>
    <cellStyle name="Komma" xfId="1" builtinId="3"/>
    <cellStyle name="Komma 2" xfId="43" xr:uid="{00000000-0005-0000-0000-00001E000000}"/>
    <cellStyle name="Kop 1" xfId="3" builtinId="16" customBuiltin="1"/>
    <cellStyle name="Kop 2" xfId="4" builtinId="17" customBuiltin="1"/>
    <cellStyle name="Kop 3" xfId="5" builtinId="18" customBuiltin="1"/>
    <cellStyle name="Kop 4" xfId="6" builtinId="19" customBuiltin="1"/>
    <cellStyle name="Koptekst 2" xfId="87" xr:uid="{F276F097-0574-40C1-8F70-DBE746972DF2}"/>
    <cellStyle name="Neutraal" xfId="9" builtinId="28" customBuiltin="1"/>
    <cellStyle name="Notitie 10" xfId="44" xr:uid="{00000000-0005-0000-0000-000024000000}"/>
    <cellStyle name="Notitie 10 2" xfId="45" xr:uid="{00000000-0005-0000-0000-000025000000}"/>
    <cellStyle name="Notitie 11" xfId="46" xr:uid="{00000000-0005-0000-0000-000026000000}"/>
    <cellStyle name="Notitie 11 2" xfId="47" xr:uid="{00000000-0005-0000-0000-000027000000}"/>
    <cellStyle name="Notitie 12" xfId="48" xr:uid="{00000000-0005-0000-0000-000028000000}"/>
    <cellStyle name="Notitie 12 2" xfId="49" xr:uid="{00000000-0005-0000-0000-000029000000}"/>
    <cellStyle name="Notitie 13" xfId="50" xr:uid="{00000000-0005-0000-0000-00002A000000}"/>
    <cellStyle name="Notitie 13 2" xfId="51" xr:uid="{00000000-0005-0000-0000-00002B000000}"/>
    <cellStyle name="Notitie 14" xfId="52" xr:uid="{00000000-0005-0000-0000-00002C000000}"/>
    <cellStyle name="Notitie 14 2" xfId="53" xr:uid="{00000000-0005-0000-0000-00002D000000}"/>
    <cellStyle name="Notitie 15" xfId="54" xr:uid="{00000000-0005-0000-0000-00002E000000}"/>
    <cellStyle name="Notitie 15 2" xfId="55" xr:uid="{00000000-0005-0000-0000-00002F000000}"/>
    <cellStyle name="Notitie 16" xfId="56" xr:uid="{00000000-0005-0000-0000-000030000000}"/>
    <cellStyle name="Notitie 16 2" xfId="57" xr:uid="{00000000-0005-0000-0000-000031000000}"/>
    <cellStyle name="Notitie 17" xfId="58" xr:uid="{00000000-0005-0000-0000-000032000000}"/>
    <cellStyle name="Notitie 17 2" xfId="59" xr:uid="{00000000-0005-0000-0000-000033000000}"/>
    <cellStyle name="Notitie 18" xfId="60" xr:uid="{00000000-0005-0000-0000-000034000000}"/>
    <cellStyle name="Notitie 18 2" xfId="61" xr:uid="{00000000-0005-0000-0000-000035000000}"/>
    <cellStyle name="Notitie 19" xfId="62" xr:uid="{00000000-0005-0000-0000-000036000000}"/>
    <cellStyle name="Notitie 19 2" xfId="63" xr:uid="{00000000-0005-0000-0000-000037000000}"/>
    <cellStyle name="Notitie 2" xfId="64" xr:uid="{00000000-0005-0000-0000-000038000000}"/>
    <cellStyle name="Notitie 2 2" xfId="65" xr:uid="{00000000-0005-0000-0000-000039000000}"/>
    <cellStyle name="Notitie 20" xfId="66" xr:uid="{00000000-0005-0000-0000-00003A000000}"/>
    <cellStyle name="Notitie 20 2" xfId="67" xr:uid="{00000000-0005-0000-0000-00003B000000}"/>
    <cellStyle name="Notitie 21" xfId="68" xr:uid="{00000000-0005-0000-0000-00003C000000}"/>
    <cellStyle name="Notitie 21 2" xfId="69" xr:uid="{00000000-0005-0000-0000-00003D000000}"/>
    <cellStyle name="Notitie 3" xfId="70" xr:uid="{00000000-0005-0000-0000-00003E000000}"/>
    <cellStyle name="Notitie 3 2" xfId="71" xr:uid="{00000000-0005-0000-0000-00003F000000}"/>
    <cellStyle name="Notitie 4" xfId="72" xr:uid="{00000000-0005-0000-0000-000040000000}"/>
    <cellStyle name="Notitie 4 2" xfId="73" xr:uid="{00000000-0005-0000-0000-000041000000}"/>
    <cellStyle name="Notitie 5" xfId="74" xr:uid="{00000000-0005-0000-0000-000042000000}"/>
    <cellStyle name="Notitie 5 2" xfId="75" xr:uid="{00000000-0005-0000-0000-000043000000}"/>
    <cellStyle name="Notitie 6" xfId="76" xr:uid="{00000000-0005-0000-0000-000044000000}"/>
    <cellStyle name="Notitie 6 2" xfId="77" xr:uid="{00000000-0005-0000-0000-000045000000}"/>
    <cellStyle name="Notitie 7" xfId="78" xr:uid="{00000000-0005-0000-0000-000046000000}"/>
    <cellStyle name="Notitie 7 2" xfId="79" xr:uid="{00000000-0005-0000-0000-000047000000}"/>
    <cellStyle name="Notitie 8" xfId="80" xr:uid="{00000000-0005-0000-0000-000048000000}"/>
    <cellStyle name="Notitie 8 2" xfId="81" xr:uid="{00000000-0005-0000-0000-000049000000}"/>
    <cellStyle name="Notitie 9" xfId="82" xr:uid="{00000000-0005-0000-0000-00004A000000}"/>
    <cellStyle name="Notitie 9 2" xfId="83" xr:uid="{00000000-0005-0000-0000-00004B000000}"/>
    <cellStyle name="Ongeldig" xfId="8" builtinId="27" customBuiltin="1"/>
    <cellStyle name="Procent 2" xfId="88" xr:uid="{07F8720C-A2AD-461A-AD13-8657F5655987}"/>
    <cellStyle name="Standaard" xfId="0" builtinId="0"/>
    <cellStyle name="Standaard 13 2" xfId="84" xr:uid="{00000000-0005-0000-0000-00004E000000}"/>
    <cellStyle name="Standaard 2" xfId="42" xr:uid="{00000000-0005-0000-0000-00004F000000}"/>
    <cellStyle name="Standaard 3" xfId="86" xr:uid="{C8EAA9B3-BDD1-46DA-AFC2-DB1477E58BC4}"/>
    <cellStyle name="Standaard 3 2" xfId="89" xr:uid="{270E21DD-DBF1-4246-A40C-DBC1A80EBB38}"/>
    <cellStyle name="Standaard 5 2" xfId="85" xr:uid="{00000000-0005-0000-0000-000050000000}"/>
    <cellStyle name="Titel" xfId="2" builtinId="15" customBuiltin="1"/>
    <cellStyle name="Totaal" xfId="17" builtinId="25" customBuiltin="1"/>
    <cellStyle name="Uitvoer" xfId="11" builtinId="21" customBuiltin="1"/>
    <cellStyle name="Verklarende tekst" xfId="16" builtinId="53" customBuiltin="1"/>
    <cellStyle name="Waarschuwingstekst" xfId="15" builtinId="11" customBuiltin="1"/>
  </cellStyles>
  <dxfs count="158">
    <dxf>
      <font>
        <condense val="0"/>
        <extend val="0"/>
        <color indexed="12"/>
      </font>
    </dxf>
    <dxf>
      <font>
        <condense val="0"/>
        <extend val="0"/>
        <color indexed="12"/>
      </font>
    </dxf>
    <dxf>
      <font>
        <condense val="0"/>
        <extend val="0"/>
        <color indexed="12"/>
      </font>
    </dxf>
    <dxf>
      <font>
        <condense val="0"/>
        <extend val="0"/>
        <color indexed="12"/>
      </font>
    </dxf>
    <dxf>
      <fill>
        <patternFill>
          <bgColor theme="5" tint="0.79998168889431442"/>
        </patternFill>
      </fill>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ill>
        <patternFill>
          <bgColor theme="5" tint="0.79998168889431442"/>
        </patternFill>
      </fill>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s>
  <tableStyles count="0" defaultTableStyle="TableStyleMedium2" defaultPivotStyle="PivotStyleLight16"/>
  <colors>
    <mruColors>
      <color rgb="FFFF6D6D"/>
      <color rgb="FFFFD85D"/>
      <color rgb="FF61D6FF"/>
      <color rgb="FFFFFFFF"/>
      <color rgb="FFF79646"/>
      <color rgb="FF00A1B9"/>
      <color rgb="FF1B5E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06/relationships/vbaProject" Target="vbaProject.bin"/></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activeX/activeX3.xml><?xml version="1.0" encoding="utf-8"?>
<ax:ocx xmlns:ax="http://schemas.microsoft.com/office/2006/activeX" xmlns:r="http://schemas.openxmlformats.org/officeDocument/2006/relationships" ax:classid="{D7053240-CE69-11CD-A777-00DD01143C57}" ax:persistence="persistStreamInit" r:id="rId1"/>
</file>

<file path=xl/activeX/activeX4.xml><?xml version="1.0" encoding="utf-8"?>
<ax:ocx xmlns:ax="http://schemas.microsoft.com/office/2006/activeX" xmlns:r="http://schemas.openxmlformats.org/officeDocument/2006/relationships" ax:classid="{D7053240-CE69-11CD-A777-00DD01143C57}" ax:persistence="persistStreamInit" r:id="rId1"/>
</file>

<file path=xl/activeX/activeX5.xml><?xml version="1.0" encoding="utf-8"?>
<ax:ocx xmlns:ax="http://schemas.microsoft.com/office/2006/activeX" xmlns:r="http://schemas.openxmlformats.org/officeDocument/2006/relationships" ax:classid="{D7053240-CE69-11CD-A777-00DD01143C57}" ax:persistence="persistStreamInit" r:id="rId1"/>
</file>

<file path=xl/activeX/activeX6.xml><?xml version="1.0" encoding="utf-8"?>
<ax:ocx xmlns:ax="http://schemas.microsoft.com/office/2006/activeX" xmlns:r="http://schemas.openxmlformats.org/officeDocument/2006/relationships" ax:classid="{D7053240-CE69-11CD-A777-00DD01143C57}" ax:persistence="persistStreamInit" r:id="rId1"/>
</file>

<file path=xl/activeX/activeX7.xml><?xml version="1.0" encoding="utf-8"?>
<ax:ocx xmlns:ax="http://schemas.microsoft.com/office/2006/activeX" xmlns:r="http://schemas.openxmlformats.org/officeDocument/2006/relationships" ax:classid="{D7053240-CE69-11CD-A777-00DD01143C57}" ax:persistence="persistStreamInit" r:id="rId1"/>
</file>

<file path=xl/activeX/activeX8.xml><?xml version="1.0" encoding="utf-8"?>
<ax:ocx xmlns:ax="http://schemas.microsoft.com/office/2006/activeX" xmlns:r="http://schemas.openxmlformats.org/officeDocument/2006/relationships" ax:classid="{D7053240-CE69-11CD-A777-00DD01143C57}" ax:persistence="persistStreamInit" r:id="rId1"/>
</file>

<file path=xl/activeX/activeX9.xml><?xml version="1.0" encoding="utf-8"?>
<ax:ocx xmlns:ax="http://schemas.microsoft.com/office/2006/activeX" xmlns:r="http://schemas.openxmlformats.org/officeDocument/2006/relationships" ax:classid="{D7053240-CE69-11CD-A777-00DD01143C57}" ax:persistence="persistStreamInit" r:id="rId1"/>
</file>

<file path=xl/activeX/activeX10.xml><?xml version="1.0" encoding="utf-8"?>
<ax:ocx xmlns:ax="http://schemas.microsoft.com/office/2006/activeX" xmlns:r="http://schemas.openxmlformats.org/officeDocument/2006/relationships" ax:classid="{D7053240-CE69-11CD-A777-00DD01143C57}" ax:persistence="persistStreamInit" r:id="rId1"/>
</file>

<file path=xl/activeX/activeX11.xml><?xml version="1.0" encoding="utf-8"?>
<ax:ocx xmlns:ax="http://schemas.microsoft.com/office/2006/activeX" xmlns:r="http://schemas.openxmlformats.org/officeDocument/2006/relationships" ax:classid="{D7053240-CE69-11CD-A777-00DD01143C57}" ax:persistence="persistStreamInit" r:id="rId1"/>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7.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9.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11.emf"/></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2.emf"/></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3.emf"/></Relationships>
</file>

<file path=xl/drawings/drawing1.xml><?xml version="1.0" encoding="utf-8"?>
<xdr:wsDr xmlns:xdr="http://schemas.openxmlformats.org/drawingml/2006/spreadsheetDrawing" xmlns:a="http://schemas.openxmlformats.org/drawingml/2006/main">
  <xdr:twoCellAnchor editAs="oneCell">
    <xdr:from>
      <xdr:col>17</xdr:col>
      <xdr:colOff>1343025</xdr:colOff>
      <xdr:row>3</xdr:row>
      <xdr:rowOff>85725</xdr:rowOff>
    </xdr:from>
    <xdr:to>
      <xdr:col>20</xdr:col>
      <xdr:colOff>224790</xdr:colOff>
      <xdr:row>9</xdr:row>
      <xdr:rowOff>72390</xdr:rowOff>
    </xdr:to>
    <xdr:sp macro="" textlink="">
      <xdr:nvSpPr>
        <xdr:cNvPr id="1116" name="PrintButton" hidden="1">
          <a:extLst>
            <a:ext uri="{63B3BB69-23CF-44E3-9099-C40C66FF867C}">
              <a14:compatExt xmlns:a14="http://schemas.microsoft.com/office/drawing/2010/main" spid="_x0000_s1116"/>
            </a:ext>
            <a:ext uri="{FF2B5EF4-FFF2-40B4-BE49-F238E27FC236}">
              <a16:creationId xmlns:a16="http://schemas.microsoft.com/office/drawing/2014/main" id="{00000000-0008-0000-0200-00005C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PrintsWithSheet="0"/>
  </xdr:twoCellAnchor>
  <mc:AlternateContent xmlns:mc="http://schemas.openxmlformats.org/markup-compatibility/2006">
    <mc:Choice xmlns:a14="http://schemas.microsoft.com/office/drawing/2010/main" Requires="a14">
      <xdr:twoCellAnchor editAs="oneCell">
        <xdr:from>
          <xdr:col>18</xdr:col>
          <xdr:colOff>9525</xdr:colOff>
          <xdr:row>3</xdr:row>
          <xdr:rowOff>95250</xdr:rowOff>
        </xdr:from>
        <xdr:to>
          <xdr:col>20</xdr:col>
          <xdr:colOff>304800</xdr:colOff>
          <xdr:row>9</xdr:row>
          <xdr:rowOff>66675</xdr:rowOff>
        </xdr:to>
        <xdr:sp macro="" textlink="">
          <xdr:nvSpPr>
            <xdr:cNvPr id="1257" name="PrintButton" hidden="1">
              <a:extLst>
                <a:ext uri="{63B3BB69-23CF-44E3-9099-C40C66FF867C}">
                  <a14:compatExt spid="_x0000_s1257"/>
                </a:ext>
                <a:ext uri="{FF2B5EF4-FFF2-40B4-BE49-F238E27FC236}">
                  <a16:creationId xmlns:a16="http://schemas.microsoft.com/office/drawing/2014/main" id="{00000000-0008-0000-0200-0000E9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192002</xdr:colOff>
      <xdr:row>21</xdr:row>
      <xdr:rowOff>33087</xdr:rowOff>
    </xdr:from>
    <xdr:to>
      <xdr:col>0</xdr:col>
      <xdr:colOff>1919514</xdr:colOff>
      <xdr:row>22</xdr:row>
      <xdr:rowOff>128980</xdr:rowOff>
    </xdr:to>
    <xdr:pic>
      <xdr:nvPicPr>
        <xdr:cNvPr id="2" name="Afbeelding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192002" y="3316411"/>
          <a:ext cx="1725607" cy="953030"/>
        </a:xfrm>
        <a:prstGeom prst="rect">
          <a:avLst/>
        </a:prstGeom>
      </xdr:spPr>
    </xdr:pic>
    <xdr:clientData/>
  </xdr:twoCellAnchor>
  <xdr:oneCellAnchor>
    <xdr:from>
      <xdr:col>0</xdr:col>
      <xdr:colOff>191931</xdr:colOff>
      <xdr:row>27</xdr:row>
      <xdr:rowOff>39653</xdr:rowOff>
    </xdr:from>
    <xdr:ext cx="1657039" cy="1381775"/>
    <xdr:pic>
      <xdr:nvPicPr>
        <xdr:cNvPr id="3" name="Afbeelding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91931" y="4970241"/>
          <a:ext cx="1657039" cy="1381775"/>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3</xdr:col>
          <xdr:colOff>209550</xdr:colOff>
          <xdr:row>1</xdr:row>
          <xdr:rowOff>133350</xdr:rowOff>
        </xdr:from>
        <xdr:to>
          <xdr:col>5</xdr:col>
          <xdr:colOff>38100</xdr:colOff>
          <xdr:row>4</xdr:row>
          <xdr:rowOff>9525</xdr:rowOff>
        </xdr:to>
        <xdr:sp macro="" textlink="">
          <xdr:nvSpPr>
            <xdr:cNvPr id="3183" name="CommandButton1" hidden="1">
              <a:extLst>
                <a:ext uri="{63B3BB69-23CF-44E3-9099-C40C66FF867C}">
                  <a14:compatExt spid="_x0000_s3183"/>
                </a:ext>
                <a:ext uri="{FF2B5EF4-FFF2-40B4-BE49-F238E27FC236}">
                  <a16:creationId xmlns:a16="http://schemas.microsoft.com/office/drawing/2014/main" id="{00000000-0008-0000-0300-00006F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0</xdr:col>
      <xdr:colOff>192002</xdr:colOff>
      <xdr:row>21</xdr:row>
      <xdr:rowOff>33087</xdr:rowOff>
    </xdr:from>
    <xdr:to>
      <xdr:col>0</xdr:col>
      <xdr:colOff>1919514</xdr:colOff>
      <xdr:row>22</xdr:row>
      <xdr:rowOff>128980</xdr:rowOff>
    </xdr:to>
    <xdr:pic>
      <xdr:nvPicPr>
        <xdr:cNvPr id="2" name="Afbeelding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192002" y="3385887"/>
          <a:ext cx="1725607" cy="956954"/>
        </a:xfrm>
        <a:prstGeom prst="rect">
          <a:avLst/>
        </a:prstGeom>
      </xdr:spPr>
    </xdr:pic>
    <xdr:clientData/>
  </xdr:twoCellAnchor>
  <xdr:oneCellAnchor>
    <xdr:from>
      <xdr:col>0</xdr:col>
      <xdr:colOff>191931</xdr:colOff>
      <xdr:row>27</xdr:row>
      <xdr:rowOff>39653</xdr:rowOff>
    </xdr:from>
    <xdr:ext cx="1657039" cy="1381775"/>
    <xdr:pic>
      <xdr:nvPicPr>
        <xdr:cNvPr id="3" name="Afbeelding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91931" y="5021228"/>
          <a:ext cx="1657039" cy="1381775"/>
        </a:xfrm>
        <a:prstGeom prst="rect">
          <a:avLst/>
        </a:prstGeom>
      </xdr:spPr>
    </xdr:pic>
    <xdr:clientData/>
  </xdr:oneCellAnchor>
  <xdr:twoCellAnchor editAs="oneCell">
    <xdr:from>
      <xdr:col>0</xdr:col>
      <xdr:colOff>192002</xdr:colOff>
      <xdr:row>21</xdr:row>
      <xdr:rowOff>33087</xdr:rowOff>
    </xdr:from>
    <xdr:to>
      <xdr:col>0</xdr:col>
      <xdr:colOff>1919514</xdr:colOff>
      <xdr:row>22</xdr:row>
      <xdr:rowOff>128980</xdr:rowOff>
    </xdr:to>
    <xdr:pic>
      <xdr:nvPicPr>
        <xdr:cNvPr id="4" name="Afbeelding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stretch>
          <a:fillRect/>
        </a:stretch>
      </xdr:blipFill>
      <xdr:spPr>
        <a:xfrm>
          <a:off x="192002" y="3385887"/>
          <a:ext cx="1727512" cy="962669"/>
        </a:xfrm>
        <a:prstGeom prst="rect">
          <a:avLst/>
        </a:prstGeom>
      </xdr:spPr>
    </xdr:pic>
    <xdr:clientData/>
  </xdr:twoCellAnchor>
  <xdr:oneCellAnchor>
    <xdr:from>
      <xdr:col>0</xdr:col>
      <xdr:colOff>191931</xdr:colOff>
      <xdr:row>27</xdr:row>
      <xdr:rowOff>39653</xdr:rowOff>
    </xdr:from>
    <xdr:ext cx="1657039" cy="1381775"/>
    <xdr:pic>
      <xdr:nvPicPr>
        <xdr:cNvPr id="5" name="Afbeelding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91931" y="5021228"/>
          <a:ext cx="1657039" cy="1381775"/>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3</xdr:col>
          <xdr:colOff>209550</xdr:colOff>
          <xdr:row>1</xdr:row>
          <xdr:rowOff>133350</xdr:rowOff>
        </xdr:from>
        <xdr:to>
          <xdr:col>5</xdr:col>
          <xdr:colOff>38100</xdr:colOff>
          <xdr:row>4</xdr:row>
          <xdr:rowOff>9525</xdr:rowOff>
        </xdr:to>
        <xdr:sp macro="" textlink="">
          <xdr:nvSpPr>
            <xdr:cNvPr id="12320" name="CommandButton1" hidden="1">
              <a:extLst>
                <a:ext uri="{63B3BB69-23CF-44E3-9099-C40C66FF867C}">
                  <a14:compatExt spid="_x0000_s12320"/>
                </a:ext>
                <a:ext uri="{FF2B5EF4-FFF2-40B4-BE49-F238E27FC236}">
                  <a16:creationId xmlns:a16="http://schemas.microsoft.com/office/drawing/2014/main" id="{00000000-0008-0000-0400-000020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0</xdr:col>
      <xdr:colOff>192002</xdr:colOff>
      <xdr:row>21</xdr:row>
      <xdr:rowOff>33087</xdr:rowOff>
    </xdr:from>
    <xdr:to>
      <xdr:col>0</xdr:col>
      <xdr:colOff>1919514</xdr:colOff>
      <xdr:row>22</xdr:row>
      <xdr:rowOff>128980</xdr:rowOff>
    </xdr:to>
    <xdr:pic>
      <xdr:nvPicPr>
        <xdr:cNvPr id="2" name="Afbeelding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92002" y="3385887"/>
          <a:ext cx="1725607" cy="956954"/>
        </a:xfrm>
        <a:prstGeom prst="rect">
          <a:avLst/>
        </a:prstGeom>
      </xdr:spPr>
    </xdr:pic>
    <xdr:clientData/>
  </xdr:twoCellAnchor>
  <xdr:oneCellAnchor>
    <xdr:from>
      <xdr:col>0</xdr:col>
      <xdr:colOff>191931</xdr:colOff>
      <xdr:row>27</xdr:row>
      <xdr:rowOff>39653</xdr:rowOff>
    </xdr:from>
    <xdr:ext cx="1657039" cy="1381775"/>
    <xdr:pic>
      <xdr:nvPicPr>
        <xdr:cNvPr id="3" name="Afbeelding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91931" y="5021228"/>
          <a:ext cx="1657039" cy="1381775"/>
        </a:xfrm>
        <a:prstGeom prst="rect">
          <a:avLst/>
        </a:prstGeom>
      </xdr:spPr>
    </xdr:pic>
    <xdr:clientData/>
  </xdr:oneCellAnchor>
  <xdr:twoCellAnchor editAs="oneCell">
    <xdr:from>
      <xdr:col>0</xdr:col>
      <xdr:colOff>192002</xdr:colOff>
      <xdr:row>21</xdr:row>
      <xdr:rowOff>33087</xdr:rowOff>
    </xdr:from>
    <xdr:to>
      <xdr:col>0</xdr:col>
      <xdr:colOff>1919514</xdr:colOff>
      <xdr:row>22</xdr:row>
      <xdr:rowOff>128980</xdr:rowOff>
    </xdr:to>
    <xdr:pic>
      <xdr:nvPicPr>
        <xdr:cNvPr id="4" name="Afbeelding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a:stretch>
          <a:fillRect/>
        </a:stretch>
      </xdr:blipFill>
      <xdr:spPr>
        <a:xfrm>
          <a:off x="192002" y="3385887"/>
          <a:ext cx="1727512" cy="962669"/>
        </a:xfrm>
        <a:prstGeom prst="rect">
          <a:avLst/>
        </a:prstGeom>
      </xdr:spPr>
    </xdr:pic>
    <xdr:clientData/>
  </xdr:twoCellAnchor>
  <xdr:oneCellAnchor>
    <xdr:from>
      <xdr:col>0</xdr:col>
      <xdr:colOff>191931</xdr:colOff>
      <xdr:row>27</xdr:row>
      <xdr:rowOff>39653</xdr:rowOff>
    </xdr:from>
    <xdr:ext cx="1657039" cy="1381775"/>
    <xdr:pic>
      <xdr:nvPicPr>
        <xdr:cNvPr id="5" name="Afbeelding 4">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91931" y="5021228"/>
          <a:ext cx="1657039" cy="1381775"/>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3</xdr:col>
          <xdr:colOff>209550</xdr:colOff>
          <xdr:row>1</xdr:row>
          <xdr:rowOff>133350</xdr:rowOff>
        </xdr:from>
        <xdr:to>
          <xdr:col>5</xdr:col>
          <xdr:colOff>38100</xdr:colOff>
          <xdr:row>4</xdr:row>
          <xdr:rowOff>9525</xdr:rowOff>
        </xdr:to>
        <xdr:sp macro="" textlink="">
          <xdr:nvSpPr>
            <xdr:cNvPr id="13332" name="CommandButton1" hidden="1">
              <a:extLst>
                <a:ext uri="{63B3BB69-23CF-44E3-9099-C40C66FF867C}">
                  <a14:compatExt spid="_x0000_s13332"/>
                </a:ext>
                <a:ext uri="{FF2B5EF4-FFF2-40B4-BE49-F238E27FC236}">
                  <a16:creationId xmlns:a16="http://schemas.microsoft.com/office/drawing/2014/main" id="{00000000-0008-0000-0500-0000143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editAs="oneCell">
    <xdr:from>
      <xdr:col>0</xdr:col>
      <xdr:colOff>192002</xdr:colOff>
      <xdr:row>21</xdr:row>
      <xdr:rowOff>33087</xdr:rowOff>
    </xdr:from>
    <xdr:to>
      <xdr:col>0</xdr:col>
      <xdr:colOff>1919514</xdr:colOff>
      <xdr:row>22</xdr:row>
      <xdr:rowOff>128980</xdr:rowOff>
    </xdr:to>
    <xdr:pic>
      <xdr:nvPicPr>
        <xdr:cNvPr id="2" name="Afbeelding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192002" y="3385887"/>
          <a:ext cx="1725607" cy="956954"/>
        </a:xfrm>
        <a:prstGeom prst="rect">
          <a:avLst/>
        </a:prstGeom>
      </xdr:spPr>
    </xdr:pic>
    <xdr:clientData/>
  </xdr:twoCellAnchor>
  <xdr:oneCellAnchor>
    <xdr:from>
      <xdr:col>0</xdr:col>
      <xdr:colOff>191931</xdr:colOff>
      <xdr:row>27</xdr:row>
      <xdr:rowOff>39653</xdr:rowOff>
    </xdr:from>
    <xdr:ext cx="1657039" cy="1381775"/>
    <xdr:pic>
      <xdr:nvPicPr>
        <xdr:cNvPr id="3" name="Afbeelding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91931" y="5021228"/>
          <a:ext cx="1657039" cy="1381775"/>
        </a:xfrm>
        <a:prstGeom prst="rect">
          <a:avLst/>
        </a:prstGeom>
      </xdr:spPr>
    </xdr:pic>
    <xdr:clientData/>
  </xdr:oneCellAnchor>
  <xdr:twoCellAnchor editAs="oneCell">
    <xdr:from>
      <xdr:col>0</xdr:col>
      <xdr:colOff>192002</xdr:colOff>
      <xdr:row>21</xdr:row>
      <xdr:rowOff>33087</xdr:rowOff>
    </xdr:from>
    <xdr:to>
      <xdr:col>0</xdr:col>
      <xdr:colOff>1919514</xdr:colOff>
      <xdr:row>22</xdr:row>
      <xdr:rowOff>128980</xdr:rowOff>
    </xdr:to>
    <xdr:pic>
      <xdr:nvPicPr>
        <xdr:cNvPr id="4" name="Afbeelding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stretch>
          <a:fillRect/>
        </a:stretch>
      </xdr:blipFill>
      <xdr:spPr>
        <a:xfrm>
          <a:off x="192002" y="3385887"/>
          <a:ext cx="1727512" cy="962669"/>
        </a:xfrm>
        <a:prstGeom prst="rect">
          <a:avLst/>
        </a:prstGeom>
      </xdr:spPr>
    </xdr:pic>
    <xdr:clientData/>
  </xdr:twoCellAnchor>
  <xdr:oneCellAnchor>
    <xdr:from>
      <xdr:col>0</xdr:col>
      <xdr:colOff>191931</xdr:colOff>
      <xdr:row>27</xdr:row>
      <xdr:rowOff>39653</xdr:rowOff>
    </xdr:from>
    <xdr:ext cx="1657039" cy="1381775"/>
    <xdr:pic>
      <xdr:nvPicPr>
        <xdr:cNvPr id="5" name="Afbeelding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91931" y="5021228"/>
          <a:ext cx="1657039" cy="1381775"/>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3</xdr:col>
          <xdr:colOff>209550</xdr:colOff>
          <xdr:row>1</xdr:row>
          <xdr:rowOff>133350</xdr:rowOff>
        </xdr:from>
        <xdr:to>
          <xdr:col>5</xdr:col>
          <xdr:colOff>38100</xdr:colOff>
          <xdr:row>4</xdr:row>
          <xdr:rowOff>9525</xdr:rowOff>
        </xdr:to>
        <xdr:sp macro="" textlink="">
          <xdr:nvSpPr>
            <xdr:cNvPr id="14352" name="CommandButton1" hidden="1">
              <a:extLst>
                <a:ext uri="{63B3BB69-23CF-44E3-9099-C40C66FF867C}">
                  <a14:compatExt spid="_x0000_s14352"/>
                </a:ext>
                <a:ext uri="{FF2B5EF4-FFF2-40B4-BE49-F238E27FC236}">
                  <a16:creationId xmlns:a16="http://schemas.microsoft.com/office/drawing/2014/main" id="{00000000-0008-0000-0600-000010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editAs="oneCell">
    <xdr:from>
      <xdr:col>0</xdr:col>
      <xdr:colOff>192002</xdr:colOff>
      <xdr:row>21</xdr:row>
      <xdr:rowOff>33087</xdr:rowOff>
    </xdr:from>
    <xdr:to>
      <xdr:col>0</xdr:col>
      <xdr:colOff>1919514</xdr:colOff>
      <xdr:row>22</xdr:row>
      <xdr:rowOff>128980</xdr:rowOff>
    </xdr:to>
    <xdr:pic>
      <xdr:nvPicPr>
        <xdr:cNvPr id="2" name="Afbeelding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92002" y="3385887"/>
          <a:ext cx="1725607" cy="956954"/>
        </a:xfrm>
        <a:prstGeom prst="rect">
          <a:avLst/>
        </a:prstGeom>
      </xdr:spPr>
    </xdr:pic>
    <xdr:clientData/>
  </xdr:twoCellAnchor>
  <xdr:oneCellAnchor>
    <xdr:from>
      <xdr:col>0</xdr:col>
      <xdr:colOff>191931</xdr:colOff>
      <xdr:row>27</xdr:row>
      <xdr:rowOff>39653</xdr:rowOff>
    </xdr:from>
    <xdr:ext cx="1657039" cy="1381775"/>
    <xdr:pic>
      <xdr:nvPicPr>
        <xdr:cNvPr id="3" name="Afbeelding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91931" y="5021228"/>
          <a:ext cx="1657039" cy="1381775"/>
        </a:xfrm>
        <a:prstGeom prst="rect">
          <a:avLst/>
        </a:prstGeom>
      </xdr:spPr>
    </xdr:pic>
    <xdr:clientData/>
  </xdr:oneCellAnchor>
  <xdr:twoCellAnchor editAs="oneCell">
    <xdr:from>
      <xdr:col>0</xdr:col>
      <xdr:colOff>192002</xdr:colOff>
      <xdr:row>21</xdr:row>
      <xdr:rowOff>33087</xdr:rowOff>
    </xdr:from>
    <xdr:to>
      <xdr:col>0</xdr:col>
      <xdr:colOff>1919514</xdr:colOff>
      <xdr:row>22</xdr:row>
      <xdr:rowOff>128980</xdr:rowOff>
    </xdr:to>
    <xdr:pic>
      <xdr:nvPicPr>
        <xdr:cNvPr id="4" name="Afbeelding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stretch>
          <a:fillRect/>
        </a:stretch>
      </xdr:blipFill>
      <xdr:spPr>
        <a:xfrm>
          <a:off x="192002" y="3385887"/>
          <a:ext cx="1727512" cy="962669"/>
        </a:xfrm>
        <a:prstGeom prst="rect">
          <a:avLst/>
        </a:prstGeom>
      </xdr:spPr>
    </xdr:pic>
    <xdr:clientData/>
  </xdr:twoCellAnchor>
  <xdr:oneCellAnchor>
    <xdr:from>
      <xdr:col>0</xdr:col>
      <xdr:colOff>191931</xdr:colOff>
      <xdr:row>27</xdr:row>
      <xdr:rowOff>39653</xdr:rowOff>
    </xdr:from>
    <xdr:ext cx="1657039" cy="1381775"/>
    <xdr:pic>
      <xdr:nvPicPr>
        <xdr:cNvPr id="5" name="Afbeelding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91931" y="5021228"/>
          <a:ext cx="1657039" cy="1381775"/>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3</xdr:col>
          <xdr:colOff>209550</xdr:colOff>
          <xdr:row>1</xdr:row>
          <xdr:rowOff>133350</xdr:rowOff>
        </xdr:from>
        <xdr:to>
          <xdr:col>5</xdr:col>
          <xdr:colOff>38100</xdr:colOff>
          <xdr:row>4</xdr:row>
          <xdr:rowOff>9525</xdr:rowOff>
        </xdr:to>
        <xdr:sp macro="" textlink="">
          <xdr:nvSpPr>
            <xdr:cNvPr id="15375" name="CommandButton1" hidden="1">
              <a:extLst>
                <a:ext uri="{63B3BB69-23CF-44E3-9099-C40C66FF867C}">
                  <a14:compatExt spid="_x0000_s15375"/>
                </a:ext>
                <a:ext uri="{FF2B5EF4-FFF2-40B4-BE49-F238E27FC236}">
                  <a16:creationId xmlns:a16="http://schemas.microsoft.com/office/drawing/2014/main" id="{00000000-0008-0000-0700-00000F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editAs="oneCell">
    <xdr:from>
      <xdr:col>0</xdr:col>
      <xdr:colOff>192002</xdr:colOff>
      <xdr:row>21</xdr:row>
      <xdr:rowOff>33087</xdr:rowOff>
    </xdr:from>
    <xdr:to>
      <xdr:col>0</xdr:col>
      <xdr:colOff>1919514</xdr:colOff>
      <xdr:row>22</xdr:row>
      <xdr:rowOff>128980</xdr:rowOff>
    </xdr:to>
    <xdr:pic>
      <xdr:nvPicPr>
        <xdr:cNvPr id="2" name="Afbeelding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192002" y="3385887"/>
          <a:ext cx="1725607" cy="956954"/>
        </a:xfrm>
        <a:prstGeom prst="rect">
          <a:avLst/>
        </a:prstGeom>
      </xdr:spPr>
    </xdr:pic>
    <xdr:clientData/>
  </xdr:twoCellAnchor>
  <xdr:oneCellAnchor>
    <xdr:from>
      <xdr:col>0</xdr:col>
      <xdr:colOff>191931</xdr:colOff>
      <xdr:row>27</xdr:row>
      <xdr:rowOff>39653</xdr:rowOff>
    </xdr:from>
    <xdr:ext cx="1657039" cy="1381775"/>
    <xdr:pic>
      <xdr:nvPicPr>
        <xdr:cNvPr id="3" name="Afbeelding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91931" y="5021228"/>
          <a:ext cx="1657039" cy="1381775"/>
        </a:xfrm>
        <a:prstGeom prst="rect">
          <a:avLst/>
        </a:prstGeom>
      </xdr:spPr>
    </xdr:pic>
    <xdr:clientData/>
  </xdr:oneCellAnchor>
  <xdr:twoCellAnchor editAs="oneCell">
    <xdr:from>
      <xdr:col>0</xdr:col>
      <xdr:colOff>192002</xdr:colOff>
      <xdr:row>21</xdr:row>
      <xdr:rowOff>33087</xdr:rowOff>
    </xdr:from>
    <xdr:to>
      <xdr:col>0</xdr:col>
      <xdr:colOff>1919514</xdr:colOff>
      <xdr:row>22</xdr:row>
      <xdr:rowOff>128980</xdr:rowOff>
    </xdr:to>
    <xdr:pic>
      <xdr:nvPicPr>
        <xdr:cNvPr id="4" name="Afbeelding 3">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1"/>
        <a:stretch>
          <a:fillRect/>
        </a:stretch>
      </xdr:blipFill>
      <xdr:spPr>
        <a:xfrm>
          <a:off x="192002" y="3385887"/>
          <a:ext cx="1727512" cy="962669"/>
        </a:xfrm>
        <a:prstGeom prst="rect">
          <a:avLst/>
        </a:prstGeom>
      </xdr:spPr>
    </xdr:pic>
    <xdr:clientData/>
  </xdr:twoCellAnchor>
  <xdr:oneCellAnchor>
    <xdr:from>
      <xdr:col>0</xdr:col>
      <xdr:colOff>191931</xdr:colOff>
      <xdr:row>27</xdr:row>
      <xdr:rowOff>39653</xdr:rowOff>
    </xdr:from>
    <xdr:ext cx="1657039" cy="1381775"/>
    <xdr:pic>
      <xdr:nvPicPr>
        <xdr:cNvPr id="5" name="Afbeelding 4">
          <a:extLst>
            <a:ext uri="{FF2B5EF4-FFF2-40B4-BE49-F238E27FC236}">
              <a16:creationId xmlns:a16="http://schemas.microsoft.com/office/drawing/2014/main" id="{00000000-0008-0000-08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91931" y="5021228"/>
          <a:ext cx="1657039" cy="1381775"/>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3</xdr:col>
          <xdr:colOff>209550</xdr:colOff>
          <xdr:row>1</xdr:row>
          <xdr:rowOff>133350</xdr:rowOff>
        </xdr:from>
        <xdr:to>
          <xdr:col>5</xdr:col>
          <xdr:colOff>38100</xdr:colOff>
          <xdr:row>4</xdr:row>
          <xdr:rowOff>9525</xdr:rowOff>
        </xdr:to>
        <xdr:sp macro="" textlink="">
          <xdr:nvSpPr>
            <xdr:cNvPr id="16399" name="CommandButton1" hidden="1">
              <a:extLst>
                <a:ext uri="{63B3BB69-23CF-44E3-9099-C40C66FF867C}">
                  <a14:compatExt spid="_x0000_s16399"/>
                </a:ext>
                <a:ext uri="{FF2B5EF4-FFF2-40B4-BE49-F238E27FC236}">
                  <a16:creationId xmlns:a16="http://schemas.microsoft.com/office/drawing/2014/main" id="{00000000-0008-0000-0800-00000F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editAs="oneCell">
    <xdr:from>
      <xdr:col>0</xdr:col>
      <xdr:colOff>192002</xdr:colOff>
      <xdr:row>21</xdr:row>
      <xdr:rowOff>33087</xdr:rowOff>
    </xdr:from>
    <xdr:to>
      <xdr:col>0</xdr:col>
      <xdr:colOff>1919514</xdr:colOff>
      <xdr:row>22</xdr:row>
      <xdr:rowOff>128980</xdr:rowOff>
    </xdr:to>
    <xdr:pic>
      <xdr:nvPicPr>
        <xdr:cNvPr id="2" name="Afbeelding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192002" y="3385887"/>
          <a:ext cx="1725607" cy="956954"/>
        </a:xfrm>
        <a:prstGeom prst="rect">
          <a:avLst/>
        </a:prstGeom>
      </xdr:spPr>
    </xdr:pic>
    <xdr:clientData/>
  </xdr:twoCellAnchor>
  <xdr:oneCellAnchor>
    <xdr:from>
      <xdr:col>0</xdr:col>
      <xdr:colOff>191931</xdr:colOff>
      <xdr:row>27</xdr:row>
      <xdr:rowOff>39653</xdr:rowOff>
    </xdr:from>
    <xdr:ext cx="1657039" cy="1381775"/>
    <xdr:pic>
      <xdr:nvPicPr>
        <xdr:cNvPr id="3" name="Afbeelding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91931" y="5021228"/>
          <a:ext cx="1657039" cy="1381775"/>
        </a:xfrm>
        <a:prstGeom prst="rect">
          <a:avLst/>
        </a:prstGeom>
      </xdr:spPr>
    </xdr:pic>
    <xdr:clientData/>
  </xdr:oneCellAnchor>
  <xdr:twoCellAnchor editAs="oneCell">
    <xdr:from>
      <xdr:col>0</xdr:col>
      <xdr:colOff>192002</xdr:colOff>
      <xdr:row>21</xdr:row>
      <xdr:rowOff>33087</xdr:rowOff>
    </xdr:from>
    <xdr:to>
      <xdr:col>0</xdr:col>
      <xdr:colOff>1919514</xdr:colOff>
      <xdr:row>22</xdr:row>
      <xdr:rowOff>128980</xdr:rowOff>
    </xdr:to>
    <xdr:pic>
      <xdr:nvPicPr>
        <xdr:cNvPr id="4" name="Afbeelding 3">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1"/>
        <a:stretch>
          <a:fillRect/>
        </a:stretch>
      </xdr:blipFill>
      <xdr:spPr>
        <a:xfrm>
          <a:off x="192002" y="3385887"/>
          <a:ext cx="1727512" cy="962669"/>
        </a:xfrm>
        <a:prstGeom prst="rect">
          <a:avLst/>
        </a:prstGeom>
      </xdr:spPr>
    </xdr:pic>
    <xdr:clientData/>
  </xdr:twoCellAnchor>
  <xdr:oneCellAnchor>
    <xdr:from>
      <xdr:col>0</xdr:col>
      <xdr:colOff>191931</xdr:colOff>
      <xdr:row>27</xdr:row>
      <xdr:rowOff>39653</xdr:rowOff>
    </xdr:from>
    <xdr:ext cx="1657039" cy="1381775"/>
    <xdr:pic>
      <xdr:nvPicPr>
        <xdr:cNvPr id="5" name="Afbeelding 4">
          <a:extLst>
            <a:ext uri="{FF2B5EF4-FFF2-40B4-BE49-F238E27FC236}">
              <a16:creationId xmlns:a16="http://schemas.microsoft.com/office/drawing/2014/main" id="{00000000-0008-0000-09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91931" y="5021228"/>
          <a:ext cx="1657039" cy="1381775"/>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3</xdr:col>
          <xdr:colOff>209550</xdr:colOff>
          <xdr:row>1</xdr:row>
          <xdr:rowOff>133350</xdr:rowOff>
        </xdr:from>
        <xdr:to>
          <xdr:col>5</xdr:col>
          <xdr:colOff>38100</xdr:colOff>
          <xdr:row>4</xdr:row>
          <xdr:rowOff>9525</xdr:rowOff>
        </xdr:to>
        <xdr:sp macro="" textlink="">
          <xdr:nvSpPr>
            <xdr:cNvPr id="17423" name="CommandButton1" hidden="1">
              <a:extLst>
                <a:ext uri="{63B3BB69-23CF-44E3-9099-C40C66FF867C}">
                  <a14:compatExt spid="_x0000_s17423"/>
                </a:ext>
                <a:ext uri="{FF2B5EF4-FFF2-40B4-BE49-F238E27FC236}">
                  <a16:creationId xmlns:a16="http://schemas.microsoft.com/office/drawing/2014/main" id="{00000000-0008-0000-0900-00000F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xdr:twoCellAnchor editAs="oneCell">
    <xdr:from>
      <xdr:col>0</xdr:col>
      <xdr:colOff>192002</xdr:colOff>
      <xdr:row>21</xdr:row>
      <xdr:rowOff>33087</xdr:rowOff>
    </xdr:from>
    <xdr:to>
      <xdr:col>0</xdr:col>
      <xdr:colOff>1919514</xdr:colOff>
      <xdr:row>22</xdr:row>
      <xdr:rowOff>128980</xdr:rowOff>
    </xdr:to>
    <xdr:pic>
      <xdr:nvPicPr>
        <xdr:cNvPr id="2" name="Afbeelding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192002" y="3385887"/>
          <a:ext cx="1725607" cy="956954"/>
        </a:xfrm>
        <a:prstGeom prst="rect">
          <a:avLst/>
        </a:prstGeom>
      </xdr:spPr>
    </xdr:pic>
    <xdr:clientData/>
  </xdr:twoCellAnchor>
  <xdr:oneCellAnchor>
    <xdr:from>
      <xdr:col>0</xdr:col>
      <xdr:colOff>191931</xdr:colOff>
      <xdr:row>27</xdr:row>
      <xdr:rowOff>39653</xdr:rowOff>
    </xdr:from>
    <xdr:ext cx="1657039" cy="1381775"/>
    <xdr:pic>
      <xdr:nvPicPr>
        <xdr:cNvPr id="3" name="Afbeelding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91931" y="5021228"/>
          <a:ext cx="1657039" cy="1381775"/>
        </a:xfrm>
        <a:prstGeom prst="rect">
          <a:avLst/>
        </a:prstGeom>
      </xdr:spPr>
    </xdr:pic>
    <xdr:clientData/>
  </xdr:oneCellAnchor>
  <xdr:twoCellAnchor editAs="oneCell">
    <xdr:from>
      <xdr:col>0</xdr:col>
      <xdr:colOff>192002</xdr:colOff>
      <xdr:row>21</xdr:row>
      <xdr:rowOff>33087</xdr:rowOff>
    </xdr:from>
    <xdr:to>
      <xdr:col>0</xdr:col>
      <xdr:colOff>1919514</xdr:colOff>
      <xdr:row>22</xdr:row>
      <xdr:rowOff>128980</xdr:rowOff>
    </xdr:to>
    <xdr:pic>
      <xdr:nvPicPr>
        <xdr:cNvPr id="4" name="Afbeelding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1"/>
        <a:stretch>
          <a:fillRect/>
        </a:stretch>
      </xdr:blipFill>
      <xdr:spPr>
        <a:xfrm>
          <a:off x="192002" y="3385887"/>
          <a:ext cx="1727512" cy="962669"/>
        </a:xfrm>
        <a:prstGeom prst="rect">
          <a:avLst/>
        </a:prstGeom>
      </xdr:spPr>
    </xdr:pic>
    <xdr:clientData/>
  </xdr:twoCellAnchor>
  <xdr:oneCellAnchor>
    <xdr:from>
      <xdr:col>0</xdr:col>
      <xdr:colOff>191931</xdr:colOff>
      <xdr:row>27</xdr:row>
      <xdr:rowOff>39653</xdr:rowOff>
    </xdr:from>
    <xdr:ext cx="1657039" cy="1381775"/>
    <xdr:pic>
      <xdr:nvPicPr>
        <xdr:cNvPr id="5" name="Afbeelding 4">
          <a:extLst>
            <a:ext uri="{FF2B5EF4-FFF2-40B4-BE49-F238E27FC236}">
              <a16:creationId xmlns:a16="http://schemas.microsoft.com/office/drawing/2014/main" id="{00000000-0008-0000-0A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91931" y="5021228"/>
          <a:ext cx="1657039" cy="1381775"/>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3</xdr:col>
          <xdr:colOff>209550</xdr:colOff>
          <xdr:row>1</xdr:row>
          <xdr:rowOff>133350</xdr:rowOff>
        </xdr:from>
        <xdr:to>
          <xdr:col>5</xdr:col>
          <xdr:colOff>38100</xdr:colOff>
          <xdr:row>4</xdr:row>
          <xdr:rowOff>9525</xdr:rowOff>
        </xdr:to>
        <xdr:sp macro="" textlink="">
          <xdr:nvSpPr>
            <xdr:cNvPr id="18447" name="CommandButton1" hidden="1">
              <a:extLst>
                <a:ext uri="{63B3BB69-23CF-44E3-9099-C40C66FF867C}">
                  <a14:compatExt spid="_x0000_s18447"/>
                </a:ext>
                <a:ext uri="{FF2B5EF4-FFF2-40B4-BE49-F238E27FC236}">
                  <a16:creationId xmlns:a16="http://schemas.microsoft.com/office/drawing/2014/main" id="{00000000-0008-0000-0A00-00000F4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xdr:twoCellAnchor editAs="oneCell">
    <xdr:from>
      <xdr:col>0</xdr:col>
      <xdr:colOff>192002</xdr:colOff>
      <xdr:row>21</xdr:row>
      <xdr:rowOff>33087</xdr:rowOff>
    </xdr:from>
    <xdr:to>
      <xdr:col>0</xdr:col>
      <xdr:colOff>1919514</xdr:colOff>
      <xdr:row>22</xdr:row>
      <xdr:rowOff>128980</xdr:rowOff>
    </xdr:to>
    <xdr:pic>
      <xdr:nvPicPr>
        <xdr:cNvPr id="2" name="Afbeelding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192002" y="3385887"/>
          <a:ext cx="1725607" cy="956954"/>
        </a:xfrm>
        <a:prstGeom prst="rect">
          <a:avLst/>
        </a:prstGeom>
      </xdr:spPr>
    </xdr:pic>
    <xdr:clientData/>
  </xdr:twoCellAnchor>
  <xdr:oneCellAnchor>
    <xdr:from>
      <xdr:col>0</xdr:col>
      <xdr:colOff>191931</xdr:colOff>
      <xdr:row>27</xdr:row>
      <xdr:rowOff>39653</xdr:rowOff>
    </xdr:from>
    <xdr:ext cx="1657039" cy="1381775"/>
    <xdr:pic>
      <xdr:nvPicPr>
        <xdr:cNvPr id="3" name="Afbeelding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91931" y="5021228"/>
          <a:ext cx="1657039" cy="1381775"/>
        </a:xfrm>
        <a:prstGeom prst="rect">
          <a:avLst/>
        </a:prstGeom>
      </xdr:spPr>
    </xdr:pic>
    <xdr:clientData/>
  </xdr:oneCellAnchor>
  <xdr:twoCellAnchor editAs="oneCell">
    <xdr:from>
      <xdr:col>0</xdr:col>
      <xdr:colOff>192002</xdr:colOff>
      <xdr:row>21</xdr:row>
      <xdr:rowOff>33087</xdr:rowOff>
    </xdr:from>
    <xdr:to>
      <xdr:col>0</xdr:col>
      <xdr:colOff>1919514</xdr:colOff>
      <xdr:row>22</xdr:row>
      <xdr:rowOff>128980</xdr:rowOff>
    </xdr:to>
    <xdr:pic>
      <xdr:nvPicPr>
        <xdr:cNvPr id="4" name="Afbeelding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1"/>
        <a:stretch>
          <a:fillRect/>
        </a:stretch>
      </xdr:blipFill>
      <xdr:spPr>
        <a:xfrm>
          <a:off x="192002" y="3385887"/>
          <a:ext cx="1727512" cy="962669"/>
        </a:xfrm>
        <a:prstGeom prst="rect">
          <a:avLst/>
        </a:prstGeom>
      </xdr:spPr>
    </xdr:pic>
    <xdr:clientData/>
  </xdr:twoCellAnchor>
  <xdr:oneCellAnchor>
    <xdr:from>
      <xdr:col>0</xdr:col>
      <xdr:colOff>191931</xdr:colOff>
      <xdr:row>27</xdr:row>
      <xdr:rowOff>39653</xdr:rowOff>
    </xdr:from>
    <xdr:ext cx="1657039" cy="1381775"/>
    <xdr:pic>
      <xdr:nvPicPr>
        <xdr:cNvPr id="5" name="Afbeelding 4">
          <a:extLst>
            <a:ext uri="{FF2B5EF4-FFF2-40B4-BE49-F238E27FC236}">
              <a16:creationId xmlns:a16="http://schemas.microsoft.com/office/drawing/2014/main" id="{00000000-0008-0000-0B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91931" y="5021228"/>
          <a:ext cx="1657039" cy="1381775"/>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3</xdr:col>
          <xdr:colOff>209550</xdr:colOff>
          <xdr:row>1</xdr:row>
          <xdr:rowOff>133350</xdr:rowOff>
        </xdr:from>
        <xdr:to>
          <xdr:col>5</xdr:col>
          <xdr:colOff>38100</xdr:colOff>
          <xdr:row>4</xdr:row>
          <xdr:rowOff>9525</xdr:rowOff>
        </xdr:to>
        <xdr:sp macro="" textlink="">
          <xdr:nvSpPr>
            <xdr:cNvPr id="19471" name="CommandButton1" hidden="1">
              <a:extLst>
                <a:ext uri="{63B3BB69-23CF-44E3-9099-C40C66FF867C}">
                  <a14:compatExt spid="_x0000_s19471"/>
                </a:ext>
                <a:ext uri="{FF2B5EF4-FFF2-40B4-BE49-F238E27FC236}">
                  <a16:creationId xmlns:a16="http://schemas.microsoft.com/office/drawing/2014/main" id="{00000000-0008-0000-0B00-00000F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xdr:twoCellAnchor editAs="oneCell">
    <xdr:from>
      <xdr:col>0</xdr:col>
      <xdr:colOff>192002</xdr:colOff>
      <xdr:row>21</xdr:row>
      <xdr:rowOff>33087</xdr:rowOff>
    </xdr:from>
    <xdr:to>
      <xdr:col>0</xdr:col>
      <xdr:colOff>1919514</xdr:colOff>
      <xdr:row>22</xdr:row>
      <xdr:rowOff>128980</xdr:rowOff>
    </xdr:to>
    <xdr:pic>
      <xdr:nvPicPr>
        <xdr:cNvPr id="2" name="Afbeelding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192002" y="3385887"/>
          <a:ext cx="1725607" cy="956954"/>
        </a:xfrm>
        <a:prstGeom prst="rect">
          <a:avLst/>
        </a:prstGeom>
      </xdr:spPr>
    </xdr:pic>
    <xdr:clientData/>
  </xdr:twoCellAnchor>
  <xdr:oneCellAnchor>
    <xdr:from>
      <xdr:col>0</xdr:col>
      <xdr:colOff>191931</xdr:colOff>
      <xdr:row>27</xdr:row>
      <xdr:rowOff>39653</xdr:rowOff>
    </xdr:from>
    <xdr:ext cx="1657039" cy="1381775"/>
    <xdr:pic>
      <xdr:nvPicPr>
        <xdr:cNvPr id="3" name="Afbeelding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91931" y="5021228"/>
          <a:ext cx="1657039" cy="1381775"/>
        </a:xfrm>
        <a:prstGeom prst="rect">
          <a:avLst/>
        </a:prstGeom>
      </xdr:spPr>
    </xdr:pic>
    <xdr:clientData/>
  </xdr:oneCellAnchor>
  <xdr:twoCellAnchor editAs="oneCell">
    <xdr:from>
      <xdr:col>0</xdr:col>
      <xdr:colOff>192002</xdr:colOff>
      <xdr:row>21</xdr:row>
      <xdr:rowOff>33087</xdr:rowOff>
    </xdr:from>
    <xdr:to>
      <xdr:col>0</xdr:col>
      <xdr:colOff>1919514</xdr:colOff>
      <xdr:row>22</xdr:row>
      <xdr:rowOff>128980</xdr:rowOff>
    </xdr:to>
    <xdr:pic>
      <xdr:nvPicPr>
        <xdr:cNvPr id="4" name="Afbeelding 3">
          <a:extLst>
            <a:ext uri="{FF2B5EF4-FFF2-40B4-BE49-F238E27FC236}">
              <a16:creationId xmlns:a16="http://schemas.microsoft.com/office/drawing/2014/main" id="{00000000-0008-0000-0C00-000004000000}"/>
            </a:ext>
          </a:extLst>
        </xdr:cNvPr>
        <xdr:cNvPicPr>
          <a:picLocks noChangeAspect="1"/>
        </xdr:cNvPicPr>
      </xdr:nvPicPr>
      <xdr:blipFill>
        <a:blip xmlns:r="http://schemas.openxmlformats.org/officeDocument/2006/relationships" r:embed="rId1"/>
        <a:stretch>
          <a:fillRect/>
        </a:stretch>
      </xdr:blipFill>
      <xdr:spPr>
        <a:xfrm>
          <a:off x="192002" y="3385887"/>
          <a:ext cx="1727512" cy="962669"/>
        </a:xfrm>
        <a:prstGeom prst="rect">
          <a:avLst/>
        </a:prstGeom>
      </xdr:spPr>
    </xdr:pic>
    <xdr:clientData/>
  </xdr:twoCellAnchor>
  <xdr:oneCellAnchor>
    <xdr:from>
      <xdr:col>0</xdr:col>
      <xdr:colOff>191931</xdr:colOff>
      <xdr:row>27</xdr:row>
      <xdr:rowOff>39653</xdr:rowOff>
    </xdr:from>
    <xdr:ext cx="1657039" cy="1381775"/>
    <xdr:pic>
      <xdr:nvPicPr>
        <xdr:cNvPr id="5" name="Afbeelding 4">
          <a:extLst>
            <a:ext uri="{FF2B5EF4-FFF2-40B4-BE49-F238E27FC236}">
              <a16:creationId xmlns:a16="http://schemas.microsoft.com/office/drawing/2014/main" id="{00000000-0008-0000-0C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91931" y="5021228"/>
          <a:ext cx="1657039" cy="1381775"/>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3</xdr:col>
          <xdr:colOff>209550</xdr:colOff>
          <xdr:row>1</xdr:row>
          <xdr:rowOff>133350</xdr:rowOff>
        </xdr:from>
        <xdr:to>
          <xdr:col>5</xdr:col>
          <xdr:colOff>38100</xdr:colOff>
          <xdr:row>4</xdr:row>
          <xdr:rowOff>9525</xdr:rowOff>
        </xdr:to>
        <xdr:sp macro="" textlink="">
          <xdr:nvSpPr>
            <xdr:cNvPr id="20495" name="CommandButton1" hidden="1">
              <a:extLst>
                <a:ext uri="{63B3BB69-23CF-44E3-9099-C40C66FF867C}">
                  <a14:compatExt spid="_x0000_s20495"/>
                </a:ext>
                <a:ext uri="{FF2B5EF4-FFF2-40B4-BE49-F238E27FC236}">
                  <a16:creationId xmlns:a16="http://schemas.microsoft.com/office/drawing/2014/main" id="{00000000-0008-0000-0C00-00000F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6" Type="http://schemas.openxmlformats.org/officeDocument/2006/relationships/comments" Target="../comments1.xml"/><Relationship Id="rId5" Type="http://schemas.openxmlformats.org/officeDocument/2006/relationships/image" Target="../media/image1.emf"/><Relationship Id="rId4" Type="http://schemas.openxmlformats.org/officeDocument/2006/relationships/control" Target="../activeX/activeX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6" Type="http://schemas.openxmlformats.org/officeDocument/2006/relationships/comments" Target="../comments2.xml"/><Relationship Id="rId5" Type="http://schemas.openxmlformats.org/officeDocument/2006/relationships/image" Target="../media/image2.emf"/><Relationship Id="rId4" Type="http://schemas.openxmlformats.org/officeDocument/2006/relationships/control" Target="../activeX/activeX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image" Target="../media/image5.emf"/><Relationship Id="rId4" Type="http://schemas.openxmlformats.org/officeDocument/2006/relationships/control" Target="../activeX/activeX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6.bin"/><Relationship Id="rId6" Type="http://schemas.openxmlformats.org/officeDocument/2006/relationships/comments" Target="../comments4.xml"/><Relationship Id="rId5" Type="http://schemas.openxmlformats.org/officeDocument/2006/relationships/image" Target="../media/image6.emf"/><Relationship Id="rId4" Type="http://schemas.openxmlformats.org/officeDocument/2006/relationships/control" Target="../activeX/activeX4.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7.bin"/><Relationship Id="rId6" Type="http://schemas.openxmlformats.org/officeDocument/2006/relationships/comments" Target="../comments5.xml"/><Relationship Id="rId5" Type="http://schemas.openxmlformats.org/officeDocument/2006/relationships/image" Target="../media/image7.emf"/><Relationship Id="rId4" Type="http://schemas.openxmlformats.org/officeDocument/2006/relationships/control" Target="../activeX/activeX5.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8.bin"/><Relationship Id="rId6" Type="http://schemas.openxmlformats.org/officeDocument/2006/relationships/comments" Target="../comments6.xml"/><Relationship Id="rId5" Type="http://schemas.openxmlformats.org/officeDocument/2006/relationships/image" Target="../media/image8.emf"/><Relationship Id="rId4" Type="http://schemas.openxmlformats.org/officeDocument/2006/relationships/control" Target="../activeX/activeX6.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9.bin"/><Relationship Id="rId6" Type="http://schemas.openxmlformats.org/officeDocument/2006/relationships/comments" Target="../comments7.xml"/><Relationship Id="rId5" Type="http://schemas.openxmlformats.org/officeDocument/2006/relationships/image" Target="../media/image9.emf"/><Relationship Id="rId4" Type="http://schemas.openxmlformats.org/officeDocument/2006/relationships/control" Target="../activeX/activeX7.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10.bin"/><Relationship Id="rId6" Type="http://schemas.openxmlformats.org/officeDocument/2006/relationships/comments" Target="../comments8.xml"/><Relationship Id="rId5" Type="http://schemas.openxmlformats.org/officeDocument/2006/relationships/image" Target="../media/image10.emf"/><Relationship Id="rId4" Type="http://schemas.openxmlformats.org/officeDocument/2006/relationships/control" Target="../activeX/activeX8.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1.bin"/><Relationship Id="rId6" Type="http://schemas.openxmlformats.org/officeDocument/2006/relationships/comments" Target="../comments9.xml"/><Relationship Id="rId5" Type="http://schemas.openxmlformats.org/officeDocument/2006/relationships/image" Target="../media/image11.emf"/><Relationship Id="rId4" Type="http://schemas.openxmlformats.org/officeDocument/2006/relationships/control" Target="../activeX/activeX9.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2.bin"/><Relationship Id="rId6" Type="http://schemas.openxmlformats.org/officeDocument/2006/relationships/comments" Target="../comments10.xml"/><Relationship Id="rId5" Type="http://schemas.openxmlformats.org/officeDocument/2006/relationships/image" Target="../media/image12.emf"/><Relationship Id="rId4" Type="http://schemas.openxmlformats.org/officeDocument/2006/relationships/control" Target="../activeX/activeX10.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3.bin"/><Relationship Id="rId6" Type="http://schemas.openxmlformats.org/officeDocument/2006/relationships/comments" Target="../comments11.xml"/><Relationship Id="rId5" Type="http://schemas.openxmlformats.org/officeDocument/2006/relationships/image" Target="../media/image13.emf"/><Relationship Id="rId4" Type="http://schemas.openxmlformats.org/officeDocument/2006/relationships/control" Target="../activeX/activeX11.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B52AD-5CC6-4093-91C2-DF098FD194EB}">
  <sheetPr codeName="Blad3"/>
  <dimension ref="A1:B35"/>
  <sheetViews>
    <sheetView zoomScale="115" zoomScaleNormal="115" workbookViewId="0">
      <selection activeCell="B18" sqref="A1:XFD1048576"/>
    </sheetView>
  </sheetViews>
  <sheetFormatPr defaultColWidth="9.140625" defaultRowHeight="12.75" x14ac:dyDescent="0.2"/>
  <cols>
    <col min="1" max="1" width="5.28515625" style="115" customWidth="1"/>
    <col min="2" max="2" width="75.28515625" style="115" customWidth="1"/>
    <col min="3" max="16384" width="9.140625" style="115"/>
  </cols>
  <sheetData>
    <row r="1" spans="1:2" s="114" customFormat="1" x14ac:dyDescent="0.25">
      <c r="A1" s="222" t="s">
        <v>220</v>
      </c>
      <c r="B1" s="222"/>
    </row>
    <row r="2" spans="1:2" s="114" customFormat="1" x14ac:dyDescent="0.25">
      <c r="A2" s="111"/>
      <c r="B2" s="111"/>
    </row>
    <row r="3" spans="1:2" x14ac:dyDescent="0.2">
      <c r="A3" s="222" t="s">
        <v>272</v>
      </c>
      <c r="B3" s="222"/>
    </row>
    <row r="4" spans="1:2" s="114" customFormat="1" x14ac:dyDescent="0.2">
      <c r="A4" s="109"/>
      <c r="B4" s="111"/>
    </row>
    <row r="5" spans="1:2" ht="12.75" customHeight="1" x14ac:dyDescent="0.2">
      <c r="A5" s="204">
        <v>1</v>
      </c>
      <c r="B5" s="203" t="s">
        <v>263</v>
      </c>
    </row>
    <row r="6" spans="1:2" x14ac:dyDescent="0.2">
      <c r="A6" s="112"/>
      <c r="B6" s="110"/>
    </row>
    <row r="7" spans="1:2" x14ac:dyDescent="0.2">
      <c r="A7" s="222" t="s">
        <v>280</v>
      </c>
      <c r="B7" s="222"/>
    </row>
    <row r="8" spans="1:2" x14ac:dyDescent="0.2">
      <c r="A8" s="109"/>
      <c r="B8" s="111"/>
    </row>
    <row r="9" spans="1:2" x14ac:dyDescent="0.2">
      <c r="A9" s="204">
        <v>1</v>
      </c>
      <c r="B9" s="203" t="s">
        <v>281</v>
      </c>
    </row>
    <row r="10" spans="1:2" x14ac:dyDescent="0.2">
      <c r="A10" s="204">
        <v>2</v>
      </c>
      <c r="B10" s="203" t="s">
        <v>282</v>
      </c>
    </row>
    <row r="11" spans="1:2" x14ac:dyDescent="0.2">
      <c r="A11" s="112"/>
      <c r="B11" s="112"/>
    </row>
    <row r="12" spans="1:2" x14ac:dyDescent="0.2">
      <c r="A12" s="222" t="s">
        <v>285</v>
      </c>
      <c r="B12" s="222"/>
    </row>
    <row r="13" spans="1:2" x14ac:dyDescent="0.2">
      <c r="A13" s="109"/>
      <c r="B13" s="111"/>
    </row>
    <row r="14" spans="1:2" x14ac:dyDescent="0.2">
      <c r="A14" s="204">
        <v>1</v>
      </c>
      <c r="B14" s="203" t="s">
        <v>286</v>
      </c>
    </row>
    <row r="15" spans="1:2" x14ac:dyDescent="0.2">
      <c r="A15" s="204"/>
      <c r="B15" s="203"/>
    </row>
    <row r="16" spans="1:2" x14ac:dyDescent="0.2">
      <c r="A16" s="112"/>
      <c r="B16" s="110"/>
    </row>
    <row r="17" spans="1:2" x14ac:dyDescent="0.2">
      <c r="A17" s="112"/>
      <c r="B17" s="112"/>
    </row>
    <row r="18" spans="1:2" x14ac:dyDescent="0.2">
      <c r="A18" s="112"/>
      <c r="B18" s="110"/>
    </row>
    <row r="19" spans="1:2" x14ac:dyDescent="0.2">
      <c r="A19" s="112"/>
      <c r="B19" s="110"/>
    </row>
    <row r="20" spans="1:2" ht="78.75" customHeight="1" x14ac:dyDescent="0.2">
      <c r="A20" s="112"/>
      <c r="B20" s="113"/>
    </row>
    <row r="21" spans="1:2" x14ac:dyDescent="0.2">
      <c r="A21" s="109"/>
      <c r="B21" s="110"/>
    </row>
    <row r="22" spans="1:2" x14ac:dyDescent="0.2">
      <c r="A22" s="112"/>
      <c r="B22" s="110"/>
    </row>
    <row r="23" spans="1:2" x14ac:dyDescent="0.2">
      <c r="A23" s="109"/>
      <c r="B23" s="113"/>
    </row>
    <row r="24" spans="1:2" x14ac:dyDescent="0.2">
      <c r="A24" s="109"/>
      <c r="B24" s="110"/>
    </row>
    <row r="25" spans="1:2" x14ac:dyDescent="0.2">
      <c r="A25" s="112"/>
      <c r="B25" s="110"/>
    </row>
    <row r="26" spans="1:2" x14ac:dyDescent="0.2">
      <c r="A26" s="112"/>
      <c r="B26" s="113"/>
    </row>
    <row r="27" spans="1:2" x14ac:dyDescent="0.2">
      <c r="A27" s="109"/>
      <c r="B27" s="110"/>
    </row>
    <row r="28" spans="1:2" x14ac:dyDescent="0.2">
      <c r="A28" s="112"/>
      <c r="B28" s="110"/>
    </row>
    <row r="29" spans="1:2" x14ac:dyDescent="0.2">
      <c r="A29" s="112"/>
      <c r="B29" s="113"/>
    </row>
    <row r="30" spans="1:2" x14ac:dyDescent="0.2">
      <c r="A30" s="109"/>
      <c r="B30" s="110"/>
    </row>
    <row r="31" spans="1:2" x14ac:dyDescent="0.2">
      <c r="A31" s="109"/>
      <c r="B31" s="110"/>
    </row>
    <row r="32" spans="1:2" x14ac:dyDescent="0.2">
      <c r="A32" s="112"/>
      <c r="B32" s="113"/>
    </row>
    <row r="33" spans="1:2" x14ac:dyDescent="0.2">
      <c r="A33" s="109"/>
      <c r="B33" s="110"/>
    </row>
    <row r="34" spans="1:2" x14ac:dyDescent="0.2">
      <c r="A34" s="109"/>
      <c r="B34" s="110"/>
    </row>
    <row r="35" spans="1:2" x14ac:dyDescent="0.2">
      <c r="A35" s="109"/>
      <c r="B35" s="110"/>
    </row>
  </sheetData>
  <sheetProtection sheet="1" objects="1" scenarios="1" selectLockedCells="1" selectUnlockedCells="1"/>
  <mergeCells count="4">
    <mergeCell ref="A1:B1"/>
    <mergeCell ref="A3:B3"/>
    <mergeCell ref="A7:B7"/>
    <mergeCell ref="A12:B12"/>
  </mergeCells>
  <conditionalFormatting sqref="A5:B5">
    <cfRule type="cellIs" dxfId="157" priority="10" stopIfTrue="1" operator="equal">
      <formula>"&lt;DATUM&gt;"</formula>
    </cfRule>
  </conditionalFormatting>
  <conditionalFormatting sqref="A5:B5">
    <cfRule type="cellIs" dxfId="156" priority="9" stopIfTrue="1" operator="equal">
      <formula>"&lt;OPDRACHTGEVER&gt;"</formula>
    </cfRule>
  </conditionalFormatting>
  <conditionalFormatting sqref="A9:B9">
    <cfRule type="cellIs" dxfId="155" priority="8" stopIfTrue="1" operator="equal">
      <formula>"&lt;DATUM&gt;"</formula>
    </cfRule>
  </conditionalFormatting>
  <conditionalFormatting sqref="A9:B9">
    <cfRule type="cellIs" dxfId="154" priority="7" stopIfTrue="1" operator="equal">
      <formula>"&lt;OPDRACHTGEVER&gt;"</formula>
    </cfRule>
  </conditionalFormatting>
  <conditionalFormatting sqref="A10:B10">
    <cfRule type="cellIs" dxfId="153" priority="6" stopIfTrue="1" operator="equal">
      <formula>"&lt;DATUM&gt;"</formula>
    </cfRule>
  </conditionalFormatting>
  <conditionalFormatting sqref="A10:B10">
    <cfRule type="cellIs" dxfId="152" priority="5" stopIfTrue="1" operator="equal">
      <formula>"&lt;OPDRACHTGEVER&gt;"</formula>
    </cfRule>
  </conditionalFormatting>
  <conditionalFormatting sqref="A14:B14">
    <cfRule type="cellIs" dxfId="151" priority="4" stopIfTrue="1" operator="equal">
      <formula>"&lt;DATUM&gt;"</formula>
    </cfRule>
  </conditionalFormatting>
  <conditionalFormatting sqref="A14:B14">
    <cfRule type="cellIs" dxfId="150" priority="3" stopIfTrue="1" operator="equal">
      <formula>"&lt;OPDRACHTGEVER&gt;"</formula>
    </cfRule>
  </conditionalFormatting>
  <conditionalFormatting sqref="A15:B15">
    <cfRule type="cellIs" dxfId="149" priority="2" stopIfTrue="1" operator="equal">
      <formula>"&lt;DATUM&gt;"</formula>
    </cfRule>
  </conditionalFormatting>
  <conditionalFormatting sqref="A15:B15">
    <cfRule type="cellIs" dxfId="148" priority="1" stopIfTrue="1" operator="equal">
      <formula>"&lt;OPDRACHTGEVER&gt;"</formula>
    </cfRule>
  </conditionalFormatting>
  <pageMargins left="0.7" right="0.7" top="0.75" bottom="0.75" header="0.3" footer="0.3"/>
  <pageSetup paperSize="9" orientation="portrait" verticalDpi="0" r:id="rId1"/>
  <headerFooter>
    <oddFooter>&amp;L_x000D_&amp;1#&amp;"Calibri"&amp;10&amp;K000000 Intern gebruik</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F5A09-81C6-4527-8087-58C9730F4EB4}">
  <sheetPr codeName="Blad11">
    <pageSetUpPr fitToPage="1"/>
  </sheetPr>
  <dimension ref="A1:E28"/>
  <sheetViews>
    <sheetView showGridLines="0" topLeftCell="A8" zoomScaleNormal="100" workbookViewId="0">
      <selection activeCell="B26" sqref="B26"/>
    </sheetView>
  </sheetViews>
  <sheetFormatPr defaultRowHeight="15" x14ac:dyDescent="0.25"/>
  <cols>
    <col min="1" max="1" width="8.85546875" customWidth="1"/>
    <col min="2" max="2" width="29" customWidth="1"/>
    <col min="3" max="3" width="11.85546875" customWidth="1"/>
    <col min="4" max="4" width="78" customWidth="1"/>
    <col min="5" max="5" width="10.7109375" customWidth="1"/>
  </cols>
  <sheetData>
    <row r="1" spans="1:5" s="32" customFormat="1" ht="15.75" x14ac:dyDescent="0.25">
      <c r="A1" s="223" t="s">
        <v>264</v>
      </c>
      <c r="B1" s="223"/>
      <c r="C1" s="223"/>
      <c r="D1" s="223"/>
      <c r="E1" s="223"/>
    </row>
    <row r="2" spans="1:5" s="32" customFormat="1" ht="15.75" x14ac:dyDescent="0.25">
      <c r="A2" s="47"/>
      <c r="B2" s="47"/>
      <c r="C2" s="47"/>
      <c r="D2" s="47"/>
      <c r="E2" s="48"/>
    </row>
    <row r="3" spans="1:5" ht="15.75" x14ac:dyDescent="0.25">
      <c r="A3" s="48"/>
      <c r="B3" s="224" t="s">
        <v>175</v>
      </c>
      <c r="C3" s="224"/>
      <c r="D3" s="224"/>
      <c r="E3" s="48"/>
    </row>
    <row r="4" spans="1:5" ht="48" customHeight="1" x14ac:dyDescent="0.25">
      <c r="A4" s="48"/>
      <c r="B4" s="225" t="s">
        <v>274</v>
      </c>
      <c r="C4" s="225"/>
      <c r="D4" s="225"/>
      <c r="E4" s="48"/>
    </row>
    <row r="5" spans="1:5" ht="44.25" customHeight="1" x14ac:dyDescent="0.25">
      <c r="A5" s="48"/>
      <c r="B5" s="225" t="s">
        <v>276</v>
      </c>
      <c r="C5" s="225"/>
      <c r="D5" s="225"/>
      <c r="E5" s="48"/>
    </row>
    <row r="6" spans="1:5" ht="15" customHeight="1" x14ac:dyDescent="0.25">
      <c r="A6" s="48"/>
      <c r="B6" s="52"/>
      <c r="C6" s="52"/>
      <c r="D6" s="52"/>
      <c r="E6" s="48"/>
    </row>
    <row r="7" spans="1:5" ht="15.75" x14ac:dyDescent="0.25">
      <c r="A7" s="48"/>
      <c r="B7" s="224" t="s">
        <v>261</v>
      </c>
      <c r="C7" s="224"/>
      <c r="D7" s="224"/>
      <c r="E7" s="48"/>
    </row>
    <row r="8" spans="1:5" ht="196.5" customHeight="1" x14ac:dyDescent="0.25">
      <c r="A8" s="48"/>
      <c r="B8" s="225" t="s">
        <v>269</v>
      </c>
      <c r="C8" s="225"/>
      <c r="D8" s="225"/>
      <c r="E8" s="48"/>
    </row>
    <row r="9" spans="1:5" ht="15" customHeight="1" x14ac:dyDescent="0.25">
      <c r="A9" s="48"/>
      <c r="B9" s="52"/>
      <c r="C9" s="52"/>
      <c r="D9" s="52"/>
      <c r="E9" s="48"/>
    </row>
    <row r="10" spans="1:5" ht="15.75" x14ac:dyDescent="0.25">
      <c r="A10" s="48"/>
      <c r="B10" s="224" t="s">
        <v>217</v>
      </c>
      <c r="C10" s="224"/>
      <c r="D10" s="224"/>
      <c r="E10" s="48"/>
    </row>
    <row r="11" spans="1:5" ht="93.75" customHeight="1" x14ac:dyDescent="0.25">
      <c r="A11" s="48"/>
      <c r="B11" s="225" t="s">
        <v>275</v>
      </c>
      <c r="C11" s="225"/>
      <c r="D11" s="225"/>
      <c r="E11" s="48"/>
    </row>
    <row r="12" spans="1:5" x14ac:dyDescent="0.25">
      <c r="A12" s="48"/>
      <c r="B12" s="53"/>
      <c r="C12" s="53"/>
      <c r="D12" s="53"/>
      <c r="E12" s="48"/>
    </row>
    <row r="13" spans="1:5" ht="15.75" x14ac:dyDescent="0.25">
      <c r="A13" s="48"/>
      <c r="B13" s="224" t="s">
        <v>214</v>
      </c>
      <c r="C13" s="224"/>
      <c r="D13" s="224"/>
      <c r="E13" s="48"/>
    </row>
    <row r="14" spans="1:5" ht="48" customHeight="1" x14ac:dyDescent="0.25">
      <c r="A14" s="48"/>
      <c r="B14" s="225" t="s">
        <v>265</v>
      </c>
      <c r="C14" s="225"/>
      <c r="D14" s="225"/>
      <c r="E14" s="48"/>
    </row>
    <row r="15" spans="1:5" x14ac:dyDescent="0.25">
      <c r="A15" s="48"/>
      <c r="B15" s="53"/>
      <c r="C15" s="53"/>
      <c r="D15" s="53"/>
      <c r="E15" s="48"/>
    </row>
    <row r="16" spans="1:5" ht="15.75" x14ac:dyDescent="0.25">
      <c r="A16" s="48"/>
      <c r="B16" s="224" t="s">
        <v>216</v>
      </c>
      <c r="C16" s="224"/>
      <c r="D16" s="224"/>
      <c r="E16" s="48"/>
    </row>
    <row r="17" spans="1:5" ht="30.75" customHeight="1" x14ac:dyDescent="0.25">
      <c r="A17" s="48"/>
      <c r="B17" s="225" t="s">
        <v>262</v>
      </c>
      <c r="C17" s="225"/>
      <c r="D17" s="225"/>
      <c r="E17" s="48"/>
    </row>
    <row r="18" spans="1:5" x14ac:dyDescent="0.25">
      <c r="A18" s="48"/>
      <c r="B18" s="48"/>
      <c r="C18" s="48"/>
      <c r="D18" s="48"/>
      <c r="E18" s="48"/>
    </row>
    <row r="19" spans="1:5" ht="15.75" x14ac:dyDescent="0.25">
      <c r="A19" s="48"/>
      <c r="B19" s="224" t="s">
        <v>170</v>
      </c>
      <c r="C19" s="224"/>
      <c r="D19" s="224"/>
      <c r="E19" s="48"/>
    </row>
    <row r="20" spans="1:5" ht="15.75" x14ac:dyDescent="0.25">
      <c r="A20" s="48"/>
      <c r="B20" s="52" t="s">
        <v>171</v>
      </c>
      <c r="C20" s="45"/>
      <c r="D20" s="47"/>
      <c r="E20" s="47"/>
    </row>
    <row r="21" spans="1:5" x14ac:dyDescent="0.25">
      <c r="A21" s="48"/>
      <c r="B21" s="52" t="s">
        <v>172</v>
      </c>
      <c r="C21" s="49"/>
      <c r="D21" s="48"/>
      <c r="E21" s="48"/>
    </row>
    <row r="22" spans="1:5" x14ac:dyDescent="0.25">
      <c r="A22" s="48"/>
      <c r="B22" s="52" t="s">
        <v>270</v>
      </c>
      <c r="C22" s="50"/>
      <c r="D22" s="48"/>
      <c r="E22" s="48"/>
    </row>
    <row r="23" spans="1:5" x14ac:dyDescent="0.25">
      <c r="A23" s="48"/>
      <c r="B23" s="52" t="s">
        <v>173</v>
      </c>
      <c r="C23" s="51"/>
      <c r="D23" s="48"/>
      <c r="E23" s="48"/>
    </row>
    <row r="24" spans="1:5" x14ac:dyDescent="0.25">
      <c r="A24" s="48"/>
      <c r="B24" s="52"/>
      <c r="C24" s="48"/>
      <c r="D24" s="48"/>
      <c r="E24" s="48"/>
    </row>
    <row r="25" spans="1:5" ht="15.75" x14ac:dyDescent="0.25">
      <c r="A25" s="48"/>
      <c r="B25" s="224" t="s">
        <v>174</v>
      </c>
      <c r="C25" s="224"/>
      <c r="D25" s="224"/>
      <c r="E25" s="48"/>
    </row>
    <row r="26" spans="1:5" x14ac:dyDescent="0.25">
      <c r="A26" s="48"/>
      <c r="B26" s="101" t="s">
        <v>280</v>
      </c>
      <c r="C26" s="182">
        <v>45735</v>
      </c>
      <c r="D26" s="182" t="s">
        <v>283</v>
      </c>
      <c r="E26" s="48"/>
    </row>
    <row r="27" spans="1:5" x14ac:dyDescent="0.25">
      <c r="A27" s="48"/>
      <c r="B27" s="101" t="s">
        <v>285</v>
      </c>
      <c r="C27" s="182">
        <v>45756</v>
      </c>
      <c r="D27" s="182" t="s">
        <v>287</v>
      </c>
      <c r="E27" s="48"/>
    </row>
    <row r="28" spans="1:5" x14ac:dyDescent="0.25">
      <c r="A28" s="48"/>
      <c r="B28" s="48"/>
      <c r="C28" s="48"/>
      <c r="D28" s="48"/>
      <c r="E28" s="48"/>
    </row>
  </sheetData>
  <sheetProtection sheet="1" objects="1" scenarios="1" selectLockedCells="1" selectUnlockedCells="1"/>
  <mergeCells count="14">
    <mergeCell ref="A1:E1"/>
    <mergeCell ref="B10:D10"/>
    <mergeCell ref="B25:D25"/>
    <mergeCell ref="B3:D3"/>
    <mergeCell ref="B4:D4"/>
    <mergeCell ref="B11:D11"/>
    <mergeCell ref="B13:D13"/>
    <mergeCell ref="B14:D14"/>
    <mergeCell ref="B17:D17"/>
    <mergeCell ref="B16:D16"/>
    <mergeCell ref="B7:D7"/>
    <mergeCell ref="B8:D8"/>
    <mergeCell ref="B19:D19"/>
    <mergeCell ref="B5:D5"/>
  </mergeCells>
  <phoneticPr fontId="23" type="noConversion"/>
  <conditionalFormatting sqref="B4:B12">
    <cfRule type="cellIs" dxfId="147" priority="24" stopIfTrue="1" operator="equal">
      <formula>"&lt;DATUM&gt;"</formula>
    </cfRule>
  </conditionalFormatting>
  <conditionalFormatting sqref="B4:B12">
    <cfRule type="cellIs" dxfId="146" priority="23" stopIfTrue="1" operator="equal">
      <formula>"&lt;OPDRACHTGEVER&gt;"</formula>
    </cfRule>
  </conditionalFormatting>
  <conditionalFormatting sqref="B14">
    <cfRule type="cellIs" dxfId="145" priority="22" stopIfTrue="1" operator="equal">
      <formula>"&lt;DATUM&gt;"</formula>
    </cfRule>
  </conditionalFormatting>
  <conditionalFormatting sqref="B14">
    <cfRule type="cellIs" dxfId="144" priority="21" stopIfTrue="1" operator="equal">
      <formula>"&lt;OPDRACHTGEVER&gt;"</formula>
    </cfRule>
  </conditionalFormatting>
  <conditionalFormatting sqref="B17">
    <cfRule type="cellIs" dxfId="143" priority="20" stopIfTrue="1" operator="equal">
      <formula>"&lt;DATUM&gt;"</formula>
    </cfRule>
  </conditionalFormatting>
  <conditionalFormatting sqref="B17">
    <cfRule type="cellIs" dxfId="142" priority="19" stopIfTrue="1" operator="equal">
      <formula>"&lt;OPDRACHTGEVER&gt;"</formula>
    </cfRule>
  </conditionalFormatting>
  <conditionalFormatting sqref="B20:B24">
    <cfRule type="cellIs" dxfId="141" priority="16" stopIfTrue="1" operator="equal">
      <formula>"&lt;DATUM&gt;"</formula>
    </cfRule>
  </conditionalFormatting>
  <conditionalFormatting sqref="B20:B24">
    <cfRule type="cellIs" dxfId="140" priority="15" stopIfTrue="1" operator="equal">
      <formula>"&lt;OPDRACHTGEVER&gt;"</formula>
    </cfRule>
  </conditionalFormatting>
  <conditionalFormatting sqref="B26:B27">
    <cfRule type="cellIs" dxfId="139" priority="14" stopIfTrue="1" operator="equal">
      <formula>"&lt;DATUM&gt;"</formula>
    </cfRule>
  </conditionalFormatting>
  <conditionalFormatting sqref="B26:B27">
    <cfRule type="cellIs" dxfId="138" priority="13" stopIfTrue="1" operator="equal">
      <formula>"&lt;OPDRACHTGEVER&gt;"</formula>
    </cfRule>
  </conditionalFormatting>
  <conditionalFormatting sqref="C26:D26">
    <cfRule type="cellIs" dxfId="137" priority="10" stopIfTrue="1" operator="equal">
      <formula>"&lt;DATUM&gt;"</formula>
    </cfRule>
  </conditionalFormatting>
  <conditionalFormatting sqref="C26:D26">
    <cfRule type="cellIs" dxfId="136" priority="9" stopIfTrue="1" operator="equal">
      <formula>"&lt;OPDRACHTGEVER&gt;"</formula>
    </cfRule>
  </conditionalFormatting>
  <conditionalFormatting sqref="B9">
    <cfRule type="cellIs" dxfId="135" priority="6" stopIfTrue="1" operator="equal">
      <formula>"&lt;DATUM&gt;"</formula>
    </cfRule>
  </conditionalFormatting>
  <conditionalFormatting sqref="B9">
    <cfRule type="cellIs" dxfId="134" priority="5" stopIfTrue="1" operator="equal">
      <formula>"&lt;OPDRACHTGEVER&gt;"</formula>
    </cfRule>
  </conditionalFormatting>
  <conditionalFormatting sqref="C27">
    <cfRule type="cellIs" dxfId="133" priority="4" stopIfTrue="1" operator="equal">
      <formula>"&lt;DATUM&gt;"</formula>
    </cfRule>
  </conditionalFormatting>
  <conditionalFormatting sqref="C27">
    <cfRule type="cellIs" dxfId="132" priority="3" stopIfTrue="1" operator="equal">
      <formula>"&lt;OPDRACHTGEVER&gt;"</formula>
    </cfRule>
  </conditionalFormatting>
  <conditionalFormatting sqref="D27">
    <cfRule type="cellIs" dxfId="131" priority="2" stopIfTrue="1" operator="equal">
      <formula>"&lt;DATUM&gt;"</formula>
    </cfRule>
  </conditionalFormatting>
  <conditionalFormatting sqref="D27">
    <cfRule type="cellIs" dxfId="130" priority="1" stopIfTrue="1" operator="equal">
      <formula>"&lt;OPDRACHTGEVER&gt;"</formula>
    </cfRule>
  </conditionalFormatting>
  <pageMargins left="0.7" right="0.7" top="0.75" bottom="0.75" header="0.3" footer="0.3"/>
  <pageSetup paperSize="9" scale="63" orientation="portrait" r:id="rId1"/>
  <headerFooter>
    <oddFooter>&amp;L_x000D_&amp;1#&amp;"Calibri"&amp;10&amp;K000000 Intern gebruik</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92077-371E-4F1F-9C71-0F768E717965}">
  <sheetPr codeName="Blad2">
    <tabColor rgb="FF00B050"/>
    <outlinePr summaryBelow="0"/>
    <pageSetUpPr fitToPage="1"/>
  </sheetPr>
  <dimension ref="A1:V95"/>
  <sheetViews>
    <sheetView showGridLines="0" tabSelected="1" zoomScale="80" zoomScaleNormal="80" zoomScaleSheetLayoutView="55" zoomScalePageLayoutView="40" workbookViewId="0">
      <selection activeCell="B5" sqref="B5:F5"/>
    </sheetView>
  </sheetViews>
  <sheetFormatPr defaultColWidth="21.28515625" defaultRowHeight="11.25" x14ac:dyDescent="0.2"/>
  <cols>
    <col min="1" max="1" width="54.42578125" style="55" bestFit="1" customWidth="1"/>
    <col min="2" max="2" width="45" style="55" bestFit="1" customWidth="1"/>
    <col min="3" max="3" width="8.7109375" style="55" bestFit="1" customWidth="1"/>
    <col min="4" max="4" width="17.5703125" style="55" customWidth="1"/>
    <col min="5" max="5" width="5.5703125" style="55" bestFit="1" customWidth="1"/>
    <col min="6" max="6" width="17.5703125" style="55" customWidth="1"/>
    <col min="7" max="7" width="5.5703125" style="55" bestFit="1" customWidth="1"/>
    <col min="8" max="8" width="17.5703125" style="55" customWidth="1"/>
    <col min="9" max="9" width="5.5703125" style="55" bestFit="1" customWidth="1"/>
    <col min="10" max="10" width="17.5703125" style="55" customWidth="1"/>
    <col min="11" max="11" width="5.5703125" style="55" bestFit="1" customWidth="1"/>
    <col min="12" max="12" width="17.5703125" style="55" customWidth="1"/>
    <col min="13" max="13" width="5.5703125" style="55" bestFit="1" customWidth="1"/>
    <col min="14" max="14" width="17.5703125" style="55" customWidth="1"/>
    <col min="15" max="15" width="5.5703125" style="55" bestFit="1" customWidth="1"/>
    <col min="16" max="16" width="21.28515625" style="55"/>
    <col min="17" max="17" width="5.28515625" style="55" bestFit="1" customWidth="1"/>
    <col min="18" max="18" width="21.28515625" style="55"/>
    <col min="19" max="19" width="5.28515625" style="55" bestFit="1" customWidth="1"/>
    <col min="20" max="20" width="21.28515625" style="55"/>
    <col min="21" max="21" width="5.28515625" style="55" bestFit="1" customWidth="1"/>
    <col min="22" max="16384" width="21.28515625" style="55"/>
  </cols>
  <sheetData>
    <row r="1" spans="1:21" s="54" customFormat="1" ht="26.1" customHeight="1" x14ac:dyDescent="0.25">
      <c r="A1" s="223" t="s">
        <v>273</v>
      </c>
      <c r="B1" s="223"/>
      <c r="C1" s="223"/>
      <c r="D1" s="223"/>
      <c r="E1" s="223"/>
      <c r="F1" s="223"/>
      <c r="G1" s="223"/>
      <c r="H1" s="223"/>
      <c r="I1" s="223"/>
      <c r="J1" s="223"/>
      <c r="K1" s="223"/>
      <c r="L1" s="223"/>
      <c r="M1" s="223"/>
      <c r="N1" s="223"/>
      <c r="O1" s="223"/>
      <c r="P1" s="223"/>
      <c r="Q1" s="223"/>
      <c r="R1" s="223"/>
      <c r="S1" s="223"/>
      <c r="T1" s="223"/>
      <c r="U1" s="223"/>
    </row>
    <row r="2" spans="1:21" ht="156" customHeight="1" x14ac:dyDescent="0.2">
      <c r="A2" s="231" t="s">
        <v>277</v>
      </c>
      <c r="B2" s="231"/>
      <c r="C2" s="231"/>
      <c r="D2" s="231"/>
      <c r="E2" s="231"/>
      <c r="F2" s="231"/>
      <c r="G2" s="231"/>
      <c r="H2" s="231"/>
      <c r="I2" s="231"/>
      <c r="J2" s="231"/>
      <c r="K2" s="231"/>
      <c r="L2" s="231"/>
      <c r="M2" s="231"/>
      <c r="N2" s="231"/>
      <c r="O2" s="231"/>
      <c r="P2" s="231"/>
      <c r="Q2" s="231"/>
      <c r="R2" s="231"/>
      <c r="S2" s="231"/>
      <c r="T2" s="231"/>
      <c r="U2" s="231"/>
    </row>
    <row r="3" spans="1:21" ht="24" customHeight="1" x14ac:dyDescent="0.2">
      <c r="A3" s="228" t="s">
        <v>3</v>
      </c>
      <c r="B3" s="228"/>
      <c r="C3" s="228"/>
      <c r="D3" s="228"/>
      <c r="E3" s="228"/>
      <c r="F3" s="228"/>
      <c r="G3" s="228"/>
      <c r="H3" s="228"/>
      <c r="I3" s="228"/>
      <c r="J3" s="228"/>
      <c r="K3" s="228"/>
      <c r="L3" s="228"/>
      <c r="M3" s="228"/>
      <c r="N3" s="228"/>
      <c r="O3" s="228"/>
      <c r="P3" s="228"/>
      <c r="Q3" s="228"/>
      <c r="R3" s="228"/>
      <c r="S3" s="228"/>
      <c r="T3" s="228"/>
      <c r="U3" s="228"/>
    </row>
    <row r="4" spans="1:21" s="54" customFormat="1" ht="12" customHeight="1" x14ac:dyDescent="0.25">
      <c r="A4" s="59"/>
      <c r="B4" s="59"/>
      <c r="C4" s="59"/>
      <c r="D4" s="59"/>
      <c r="E4" s="59"/>
      <c r="F4" s="59"/>
      <c r="G4" s="59"/>
      <c r="H4" s="59"/>
      <c r="I4" s="59"/>
      <c r="J4" s="60"/>
      <c r="K4" s="60"/>
      <c r="L4" s="60"/>
      <c r="M4" s="60"/>
      <c r="N4" s="60"/>
      <c r="O4" s="60"/>
      <c r="P4" s="35"/>
      <c r="Q4" s="35"/>
      <c r="R4" s="35"/>
      <c r="S4" s="35"/>
      <c r="T4" s="35"/>
      <c r="U4" s="35"/>
    </row>
    <row r="5" spans="1:21" s="56" customFormat="1" ht="12" customHeight="1" x14ac:dyDescent="0.2">
      <c r="A5" s="61" t="s">
        <v>6</v>
      </c>
      <c r="B5" s="232"/>
      <c r="C5" s="232"/>
      <c r="D5" s="232"/>
      <c r="E5" s="232"/>
      <c r="F5" s="232"/>
      <c r="G5" s="62"/>
      <c r="H5" s="62"/>
      <c r="I5" s="62"/>
      <c r="J5" s="60"/>
      <c r="K5" s="60"/>
      <c r="L5" s="60"/>
      <c r="M5" s="60"/>
      <c r="N5" s="60"/>
      <c r="O5" s="60"/>
      <c r="P5" s="35"/>
      <c r="Q5" s="35"/>
      <c r="R5" s="35"/>
      <c r="S5" s="35"/>
      <c r="T5" s="35"/>
      <c r="U5" s="35"/>
    </row>
    <row r="6" spans="1:21" s="56" customFormat="1" ht="12" customHeight="1" x14ac:dyDescent="0.2">
      <c r="A6" s="61" t="s">
        <v>7</v>
      </c>
      <c r="B6" s="233"/>
      <c r="C6" s="234"/>
      <c r="D6" s="62"/>
      <c r="E6" s="62"/>
      <c r="F6" s="62"/>
      <c r="G6" s="62"/>
      <c r="H6" s="62"/>
      <c r="I6" s="62"/>
      <c r="J6" s="60"/>
      <c r="K6" s="60"/>
      <c r="L6" s="60"/>
      <c r="M6" s="60"/>
      <c r="N6" s="60"/>
      <c r="O6" s="60"/>
      <c r="P6" s="35"/>
      <c r="Q6" s="35"/>
      <c r="R6" s="35"/>
      <c r="S6" s="35"/>
      <c r="T6" s="35"/>
      <c r="U6" s="35"/>
    </row>
    <row r="7" spans="1:21" s="56" customFormat="1" ht="12" customHeight="1" x14ac:dyDescent="0.2">
      <c r="A7" s="61" t="s">
        <v>8</v>
      </c>
      <c r="B7" s="232"/>
      <c r="C7" s="232"/>
      <c r="D7" s="232"/>
      <c r="E7" s="232"/>
      <c r="F7" s="232"/>
      <c r="G7" s="62"/>
      <c r="H7" s="62"/>
      <c r="I7" s="62"/>
      <c r="J7" s="60"/>
      <c r="K7" s="60"/>
      <c r="L7" s="60"/>
      <c r="M7" s="60"/>
      <c r="N7" s="60"/>
      <c r="O7" s="60"/>
      <c r="P7" s="35"/>
      <c r="Q7" s="35"/>
      <c r="R7" s="35"/>
      <c r="S7" s="35"/>
      <c r="T7" s="35"/>
      <c r="U7" s="35"/>
    </row>
    <row r="8" spans="1:21" s="56" customFormat="1" ht="12" customHeight="1" x14ac:dyDescent="0.2">
      <c r="A8" s="61" t="s">
        <v>9</v>
      </c>
      <c r="B8" s="235"/>
      <c r="C8" s="235"/>
      <c r="D8" s="62"/>
      <c r="E8" s="62"/>
      <c r="F8" s="62"/>
      <c r="G8" s="62"/>
      <c r="H8" s="62"/>
      <c r="I8" s="62"/>
      <c r="J8" s="60"/>
      <c r="K8" s="60"/>
      <c r="L8" s="60"/>
      <c r="M8" s="60"/>
      <c r="N8" s="60"/>
      <c r="O8" s="60"/>
      <c r="P8" s="35"/>
      <c r="Q8" s="35"/>
      <c r="R8" s="35"/>
      <c r="S8" s="35"/>
      <c r="T8" s="35"/>
      <c r="U8" s="35"/>
    </row>
    <row r="9" spans="1:21" s="56" customFormat="1" ht="12" customHeight="1" x14ac:dyDescent="0.2">
      <c r="A9" s="61" t="s">
        <v>10</v>
      </c>
      <c r="B9" s="232"/>
      <c r="C9" s="232"/>
      <c r="D9" s="232"/>
      <c r="E9" s="232"/>
      <c r="F9" s="232"/>
      <c r="G9" s="62"/>
      <c r="H9" s="62"/>
      <c r="I9" s="62"/>
      <c r="J9" s="60"/>
      <c r="K9" s="60"/>
      <c r="L9" s="60"/>
      <c r="M9" s="60"/>
      <c r="N9" s="60"/>
      <c r="O9" s="60"/>
      <c r="P9" s="35"/>
      <c r="Q9" s="35"/>
      <c r="R9" s="35"/>
      <c r="S9" s="35"/>
      <c r="T9" s="35"/>
      <c r="U9" s="35"/>
    </row>
    <row r="10" spans="1:21" ht="12" customHeight="1" x14ac:dyDescent="0.2">
      <c r="A10" s="59"/>
      <c r="B10" s="63"/>
      <c r="C10" s="63"/>
      <c r="D10" s="63"/>
      <c r="E10" s="64"/>
      <c r="F10" s="64"/>
      <c r="G10" s="64"/>
      <c r="H10" s="64"/>
      <c r="I10" s="64"/>
      <c r="J10" s="60"/>
      <c r="K10" s="60"/>
      <c r="L10" s="60"/>
      <c r="M10" s="60"/>
      <c r="N10" s="60"/>
      <c r="O10" s="60"/>
      <c r="P10" s="35"/>
      <c r="Q10" s="35"/>
      <c r="R10" s="35"/>
      <c r="S10" s="35"/>
      <c r="T10" s="35"/>
      <c r="U10" s="35"/>
    </row>
    <row r="11" spans="1:21" ht="24" customHeight="1" x14ac:dyDescent="0.2">
      <c r="A11" s="228" t="s">
        <v>122</v>
      </c>
      <c r="B11" s="228"/>
      <c r="C11" s="228"/>
      <c r="D11" s="228"/>
      <c r="E11" s="228"/>
      <c r="F11" s="228"/>
      <c r="G11" s="228"/>
      <c r="H11" s="228"/>
      <c r="I11" s="228"/>
      <c r="J11" s="228"/>
      <c r="K11" s="228"/>
      <c r="L11" s="228"/>
      <c r="M11" s="228"/>
      <c r="N11" s="228"/>
      <c r="O11" s="228"/>
      <c r="P11" s="228"/>
      <c r="Q11" s="228"/>
      <c r="R11" s="228"/>
      <c r="S11" s="228"/>
      <c r="T11" s="228"/>
      <c r="U11" s="228"/>
    </row>
    <row r="12" spans="1:21" s="56" customFormat="1" ht="12" customHeight="1" x14ac:dyDescent="0.2">
      <c r="A12" s="35"/>
      <c r="B12" s="35"/>
      <c r="C12" s="35"/>
      <c r="D12" s="35"/>
      <c r="E12" s="35"/>
      <c r="F12" s="35"/>
      <c r="G12" s="35"/>
      <c r="H12" s="35"/>
      <c r="I12" s="35"/>
      <c r="J12" s="35"/>
      <c r="K12" s="35"/>
      <c r="L12" s="35"/>
      <c r="M12" s="35"/>
      <c r="N12" s="35"/>
      <c r="O12" s="35"/>
      <c r="P12" s="35"/>
      <c r="Q12" s="35"/>
      <c r="R12" s="35"/>
      <c r="S12" s="35"/>
      <c r="T12" s="35"/>
      <c r="U12" s="35"/>
    </row>
    <row r="13" spans="1:21" s="56" customFormat="1" ht="12" customHeight="1" x14ac:dyDescent="0.2">
      <c r="A13" s="205" t="s">
        <v>266</v>
      </c>
      <c r="B13" s="35"/>
      <c r="C13" s="35"/>
      <c r="D13" s="35"/>
      <c r="E13" s="35"/>
      <c r="F13" s="35"/>
      <c r="G13" s="35"/>
      <c r="H13" s="35"/>
      <c r="I13" s="35"/>
      <c r="J13" s="35"/>
      <c r="K13" s="35"/>
      <c r="L13" s="35"/>
      <c r="M13" s="35"/>
      <c r="N13" s="35"/>
      <c r="O13" s="35"/>
      <c r="P13" s="35"/>
      <c r="Q13" s="35"/>
      <c r="R13" s="35"/>
      <c r="S13" s="35"/>
      <c r="T13" s="35"/>
      <c r="U13" s="35"/>
    </row>
    <row r="14" spans="1:21" s="57" customFormat="1" ht="11.25" customHeight="1" x14ac:dyDescent="0.2">
      <c r="A14" s="66" t="s">
        <v>4</v>
      </c>
      <c r="B14" s="46"/>
      <c r="C14" s="35"/>
      <c r="D14" s="35"/>
      <c r="E14" s="35"/>
      <c r="F14" s="35"/>
      <c r="G14" s="35"/>
      <c r="H14" s="35"/>
      <c r="I14" s="35"/>
      <c r="J14" s="35"/>
      <c r="K14" s="35"/>
      <c r="L14" s="35"/>
      <c r="M14" s="35"/>
      <c r="N14" s="35"/>
      <c r="O14" s="35"/>
      <c r="P14" s="35"/>
      <c r="Q14" s="35"/>
      <c r="R14" s="35"/>
      <c r="S14" s="35"/>
      <c r="T14" s="35"/>
      <c r="U14" s="35"/>
    </row>
    <row r="15" spans="1:21" s="57" customFormat="1" ht="11.25" customHeight="1" x14ac:dyDescent="0.2">
      <c r="A15" s="67" t="s">
        <v>168</v>
      </c>
      <c r="B15" s="311"/>
      <c r="C15" s="35"/>
      <c r="D15" s="35"/>
      <c r="E15" s="35"/>
      <c r="F15" s="35"/>
      <c r="G15" s="35"/>
      <c r="H15" s="35"/>
      <c r="I15" s="35"/>
      <c r="J15" s="35"/>
      <c r="K15" s="35"/>
      <c r="L15" s="35"/>
      <c r="M15" s="35"/>
      <c r="N15" s="35"/>
      <c r="O15" s="35"/>
      <c r="P15" s="35"/>
      <c r="Q15" s="35"/>
      <c r="R15" s="35"/>
      <c r="S15" s="35"/>
      <c r="T15" s="35"/>
      <c r="U15" s="35"/>
    </row>
    <row r="16" spans="1:21" s="57" customFormat="1" ht="11.25" customHeight="1" x14ac:dyDescent="0.25">
      <c r="A16" s="68" t="s">
        <v>131</v>
      </c>
      <c r="B16" s="69" cm="1">
        <f t="array" ref="B16">o_F_Iso(B14,B15)</f>
        <v>0</v>
      </c>
      <c r="C16" s="35"/>
      <c r="D16" s="35"/>
      <c r="E16" s="35"/>
      <c r="F16" s="35"/>
      <c r="G16" s="35"/>
      <c r="H16" s="35"/>
      <c r="I16" s="35"/>
      <c r="J16" s="35"/>
      <c r="K16" s="35"/>
      <c r="L16" s="35"/>
      <c r="M16" s="35"/>
      <c r="N16" s="35"/>
      <c r="O16" s="35"/>
      <c r="P16" s="35"/>
      <c r="Q16" s="35"/>
      <c r="R16" s="35"/>
      <c r="S16" s="35"/>
      <c r="T16" s="35"/>
      <c r="U16" s="35"/>
    </row>
    <row r="17" spans="1:21" s="57" customFormat="1" ht="11.25" customHeight="1" x14ac:dyDescent="0.2">
      <c r="A17" s="36" t="s">
        <v>186</v>
      </c>
      <c r="B17" s="103"/>
      <c r="C17" s="35"/>
      <c r="D17" s="35"/>
      <c r="E17" s="35"/>
      <c r="F17" s="35"/>
      <c r="G17" s="35"/>
      <c r="H17" s="35"/>
      <c r="I17" s="35"/>
      <c r="J17" s="35"/>
      <c r="K17" s="35"/>
      <c r="L17" s="35"/>
      <c r="M17" s="35"/>
      <c r="N17" s="35"/>
      <c r="O17" s="35"/>
      <c r="P17" s="35"/>
      <c r="Q17" s="35"/>
      <c r="R17" s="35"/>
      <c r="S17" s="35"/>
      <c r="T17" s="35"/>
      <c r="U17" s="35"/>
    </row>
    <row r="18" spans="1:21" s="57" customFormat="1" ht="11.25" customHeight="1" x14ac:dyDescent="0.2">
      <c r="A18" s="70" t="s">
        <v>185</v>
      </c>
      <c r="B18" s="108" cm="1">
        <f t="array" ref="B18">o_OrientatiehOEK(B17)</f>
        <v>0</v>
      </c>
      <c r="C18" s="35"/>
      <c r="D18" s="35"/>
      <c r="E18" s="35"/>
      <c r="F18" s="35"/>
      <c r="G18" s="35"/>
      <c r="H18" s="35"/>
      <c r="I18" s="35"/>
      <c r="J18" s="35"/>
      <c r="K18" s="35"/>
      <c r="L18" s="35"/>
      <c r="M18" s="35"/>
      <c r="N18" s="35"/>
      <c r="O18" s="35"/>
      <c r="P18" s="35"/>
      <c r="Q18" s="35"/>
      <c r="R18" s="35"/>
      <c r="S18" s="35"/>
      <c r="T18" s="35"/>
      <c r="U18" s="35"/>
    </row>
    <row r="19" spans="1:21" s="56" customFormat="1" ht="12" customHeight="1" x14ac:dyDescent="0.2">
      <c r="A19" s="35"/>
      <c r="B19" s="35"/>
      <c r="C19" s="35"/>
      <c r="D19" s="35"/>
      <c r="E19" s="102"/>
      <c r="F19" s="102"/>
      <c r="G19" s="102"/>
      <c r="H19" s="102"/>
      <c r="I19" s="102"/>
      <c r="J19" s="102"/>
      <c r="K19" s="102"/>
      <c r="L19" s="102"/>
      <c r="M19" s="102"/>
      <c r="N19" s="102"/>
      <c r="O19" s="102"/>
      <c r="P19" s="102"/>
      <c r="Q19" s="35"/>
      <c r="R19" s="35"/>
      <c r="S19" s="35"/>
      <c r="T19" s="35"/>
      <c r="U19" s="35"/>
    </row>
    <row r="20" spans="1:21" s="56" customFormat="1" ht="12" customHeight="1" x14ac:dyDescent="0.2">
      <c r="A20" s="205" t="s">
        <v>267</v>
      </c>
      <c r="B20" s="65"/>
      <c r="C20" s="65"/>
      <c r="D20" s="35"/>
      <c r="E20" s="229" t="s">
        <v>48</v>
      </c>
      <c r="F20" s="229"/>
      <c r="G20" s="229"/>
      <c r="H20" s="229"/>
      <c r="I20" s="229"/>
      <c r="J20" s="229"/>
      <c r="K20" s="229"/>
      <c r="L20" s="229"/>
      <c r="M20" s="229"/>
      <c r="N20" s="229"/>
      <c r="O20" s="229"/>
      <c r="P20" s="229"/>
      <c r="Q20" s="35"/>
      <c r="R20" s="35"/>
      <c r="S20" s="35"/>
      <c r="T20" s="35"/>
      <c r="U20" s="35"/>
    </row>
    <row r="21" spans="1:21" s="57" customFormat="1" ht="11.25" customHeight="1" x14ac:dyDescent="0.25">
      <c r="A21" s="36" t="s">
        <v>193</v>
      </c>
      <c r="B21" s="190"/>
      <c r="C21" s="36" t="s">
        <v>47</v>
      </c>
      <c r="D21" s="35"/>
      <c r="E21" s="230" t="s">
        <v>278</v>
      </c>
      <c r="F21" s="230"/>
      <c r="G21" s="230"/>
      <c r="H21" s="230"/>
      <c r="I21" s="230"/>
      <c r="J21" s="230"/>
      <c r="K21" s="230"/>
      <c r="L21" s="230"/>
      <c r="M21" s="230"/>
      <c r="N21" s="230"/>
      <c r="O21" s="230"/>
      <c r="P21" s="230"/>
      <c r="Q21" s="35"/>
      <c r="R21" s="35"/>
      <c r="S21" s="35"/>
      <c r="T21" s="35"/>
      <c r="U21" s="35"/>
    </row>
    <row r="22" spans="1:21" s="58" customFormat="1" ht="11.25" customHeight="1" x14ac:dyDescent="0.25">
      <c r="A22" s="36" t="s">
        <v>146</v>
      </c>
      <c r="B22" s="190"/>
      <c r="C22" s="36" t="s">
        <v>47</v>
      </c>
      <c r="D22" s="35"/>
      <c r="E22" s="230"/>
      <c r="F22" s="230"/>
      <c r="G22" s="230"/>
      <c r="H22" s="230"/>
      <c r="I22" s="230"/>
      <c r="J22" s="230"/>
      <c r="K22" s="230"/>
      <c r="L22" s="230"/>
      <c r="M22" s="230"/>
      <c r="N22" s="230"/>
      <c r="O22" s="230"/>
      <c r="P22" s="230"/>
      <c r="Q22" s="35"/>
      <c r="R22" s="35"/>
      <c r="S22" s="35"/>
      <c r="T22" s="35"/>
      <c r="U22" s="35"/>
    </row>
    <row r="23" spans="1:21" s="56" customFormat="1" ht="12" customHeight="1" x14ac:dyDescent="0.25">
      <c r="A23" s="36" t="s">
        <v>176</v>
      </c>
      <c r="B23" s="190"/>
      <c r="C23" s="36" t="s">
        <v>47</v>
      </c>
      <c r="D23" s="35"/>
      <c r="E23" s="230"/>
      <c r="F23" s="230"/>
      <c r="G23" s="230"/>
      <c r="H23" s="230"/>
      <c r="I23" s="230"/>
      <c r="J23" s="230"/>
      <c r="K23" s="230"/>
      <c r="L23" s="230"/>
      <c r="M23" s="230"/>
      <c r="N23" s="230"/>
      <c r="O23" s="230"/>
      <c r="P23" s="230"/>
      <c r="Q23" s="35"/>
      <c r="R23" s="35"/>
      <c r="S23" s="35"/>
      <c r="T23" s="35"/>
      <c r="U23" s="35"/>
    </row>
    <row r="24" spans="1:21" s="56" customFormat="1" ht="12" customHeight="1" x14ac:dyDescent="0.2">
      <c r="A24" s="35"/>
      <c r="B24" s="35"/>
      <c r="C24" s="35"/>
      <c r="D24" s="35"/>
      <c r="E24" s="230"/>
      <c r="F24" s="230"/>
      <c r="G24" s="230"/>
      <c r="H24" s="230"/>
      <c r="I24" s="230"/>
      <c r="J24" s="230"/>
      <c r="K24" s="230"/>
      <c r="L24" s="230"/>
      <c r="M24" s="230"/>
      <c r="N24" s="230"/>
      <c r="O24" s="230"/>
      <c r="P24" s="230"/>
      <c r="Q24" s="35"/>
      <c r="R24" s="35"/>
      <c r="S24" s="35"/>
      <c r="T24" s="35"/>
      <c r="U24" s="35"/>
    </row>
    <row r="25" spans="1:21" s="56" customFormat="1" ht="12" customHeight="1" x14ac:dyDescent="0.2">
      <c r="A25" s="35"/>
      <c r="B25" s="35"/>
      <c r="C25" s="35"/>
      <c r="D25" s="35"/>
      <c r="E25" s="230"/>
      <c r="F25" s="230"/>
      <c r="G25" s="230"/>
      <c r="H25" s="230"/>
      <c r="I25" s="230"/>
      <c r="J25" s="230"/>
      <c r="K25" s="230"/>
      <c r="L25" s="230"/>
      <c r="M25" s="230"/>
      <c r="N25" s="230"/>
      <c r="O25" s="230"/>
      <c r="P25" s="230"/>
      <c r="Q25" s="35"/>
      <c r="R25" s="35"/>
      <c r="S25" s="35"/>
      <c r="T25" s="35"/>
      <c r="U25" s="35"/>
    </row>
    <row r="26" spans="1:21" s="56" customFormat="1" ht="12" customHeight="1" x14ac:dyDescent="0.2">
      <c r="A26" s="35"/>
      <c r="B26" s="35"/>
      <c r="C26" s="35"/>
      <c r="D26" s="35"/>
      <c r="E26" s="230"/>
      <c r="F26" s="230"/>
      <c r="G26" s="230"/>
      <c r="H26" s="230"/>
      <c r="I26" s="230"/>
      <c r="J26" s="230"/>
      <c r="K26" s="230"/>
      <c r="L26" s="230"/>
      <c r="M26" s="230"/>
      <c r="N26" s="230"/>
      <c r="O26" s="230"/>
      <c r="P26" s="230"/>
      <c r="Q26" s="35"/>
      <c r="R26" s="35"/>
      <c r="S26" s="35"/>
      <c r="T26" s="35"/>
      <c r="U26" s="35"/>
    </row>
    <row r="27" spans="1:21" s="56" customFormat="1" ht="12" customHeight="1" x14ac:dyDescent="0.2">
      <c r="A27" s="35"/>
      <c r="B27" s="35"/>
      <c r="C27" s="35"/>
      <c r="D27" s="35"/>
      <c r="E27" s="102"/>
      <c r="F27" s="102"/>
      <c r="G27" s="102"/>
      <c r="H27" s="102"/>
      <c r="I27" s="102"/>
      <c r="J27" s="102"/>
      <c r="K27" s="102"/>
      <c r="L27" s="102"/>
      <c r="M27" s="102"/>
      <c r="N27" s="102"/>
      <c r="O27" s="102"/>
      <c r="P27" s="102"/>
      <c r="Q27" s="35"/>
      <c r="R27" s="35"/>
      <c r="S27" s="35"/>
      <c r="T27" s="35"/>
      <c r="U27" s="35"/>
    </row>
    <row r="28" spans="1:21" s="56" customFormat="1" ht="12" customHeight="1" x14ac:dyDescent="0.2">
      <c r="A28" s="205" t="s">
        <v>268</v>
      </c>
      <c r="B28" s="65"/>
      <c r="C28" s="65"/>
      <c r="D28" s="35"/>
      <c r="E28" s="229" t="s">
        <v>48</v>
      </c>
      <c r="F28" s="229"/>
      <c r="G28" s="229"/>
      <c r="H28" s="229"/>
      <c r="I28" s="229"/>
      <c r="J28" s="229"/>
      <c r="K28" s="229"/>
      <c r="L28" s="229"/>
      <c r="M28" s="229"/>
      <c r="N28" s="229"/>
      <c r="O28" s="229"/>
      <c r="P28" s="229"/>
      <c r="Q28" s="35"/>
      <c r="R28" s="35"/>
      <c r="S28" s="35"/>
      <c r="T28" s="35"/>
      <c r="U28" s="35"/>
    </row>
    <row r="29" spans="1:21" s="57" customFormat="1" ht="11.25" customHeight="1" x14ac:dyDescent="0.25">
      <c r="A29" s="36" t="s">
        <v>147</v>
      </c>
      <c r="B29" s="33"/>
      <c r="C29" s="36" t="s">
        <v>0</v>
      </c>
      <c r="D29" s="35"/>
      <c r="E29" s="230" t="s">
        <v>207</v>
      </c>
      <c r="F29" s="230"/>
      <c r="G29" s="230"/>
      <c r="H29" s="230"/>
      <c r="I29" s="230"/>
      <c r="J29" s="230"/>
      <c r="K29" s="230"/>
      <c r="L29" s="230"/>
      <c r="M29" s="230"/>
      <c r="N29" s="230"/>
      <c r="O29" s="230"/>
      <c r="P29" s="230"/>
      <c r="Q29" s="35"/>
      <c r="R29" s="35"/>
      <c r="S29" s="35"/>
      <c r="T29" s="35"/>
      <c r="U29" s="35"/>
    </row>
    <row r="30" spans="1:21" s="58" customFormat="1" ht="11.25" customHeight="1" x14ac:dyDescent="0.25">
      <c r="A30" s="36" t="s">
        <v>69</v>
      </c>
      <c r="B30" s="73">
        <v>1</v>
      </c>
      <c r="C30" s="36" t="s">
        <v>67</v>
      </c>
      <c r="D30" s="35"/>
      <c r="E30" s="230"/>
      <c r="F30" s="230"/>
      <c r="G30" s="230"/>
      <c r="H30" s="230"/>
      <c r="I30" s="230"/>
      <c r="J30" s="230"/>
      <c r="K30" s="230"/>
      <c r="L30" s="230"/>
      <c r="M30" s="230"/>
      <c r="N30" s="230"/>
      <c r="O30" s="230"/>
      <c r="P30" s="230"/>
      <c r="Q30" s="35"/>
      <c r="R30" s="35"/>
      <c r="S30" s="35"/>
      <c r="T30" s="35"/>
      <c r="U30" s="35"/>
    </row>
    <row r="31" spans="1:21" s="56" customFormat="1" ht="12" customHeight="1" x14ac:dyDescent="0.25">
      <c r="A31" s="36" t="s">
        <v>148</v>
      </c>
      <c r="B31" s="38">
        <f>IF(B29/B30&lt;=30,1,IF(B29/B30&lt;=100,2.28-1.28/70*(100-B29/B30),1.28+0.01*(B29/B30)))</f>
        <v>1</v>
      </c>
      <c r="C31" s="36" t="s">
        <v>68</v>
      </c>
      <c r="D31" s="35"/>
      <c r="E31" s="230"/>
      <c r="F31" s="230"/>
      <c r="G31" s="230"/>
      <c r="H31" s="230"/>
      <c r="I31" s="230"/>
      <c r="J31" s="230"/>
      <c r="K31" s="230"/>
      <c r="L31" s="230"/>
      <c r="M31" s="230"/>
      <c r="N31" s="230"/>
      <c r="O31" s="230"/>
      <c r="P31" s="230"/>
      <c r="Q31" s="35"/>
      <c r="R31" s="35"/>
      <c r="S31" s="35"/>
      <c r="T31" s="35"/>
      <c r="U31" s="35"/>
    </row>
    <row r="32" spans="1:21" s="56" customFormat="1" ht="12" customHeight="1" x14ac:dyDescent="0.25">
      <c r="A32" s="72" t="s">
        <v>149</v>
      </c>
      <c r="B32" s="206">
        <f>180*B31*B30</f>
        <v>180</v>
      </c>
      <c r="C32" s="36" t="s">
        <v>11</v>
      </c>
      <c r="D32" s="35"/>
      <c r="E32" s="230"/>
      <c r="F32" s="230"/>
      <c r="G32" s="230"/>
      <c r="H32" s="230"/>
      <c r="I32" s="230"/>
      <c r="J32" s="230"/>
      <c r="K32" s="230"/>
      <c r="L32" s="230"/>
      <c r="M32" s="230"/>
      <c r="N32" s="230"/>
      <c r="O32" s="230"/>
      <c r="P32" s="230"/>
      <c r="Q32" s="35"/>
      <c r="R32" s="35"/>
      <c r="S32" s="35"/>
      <c r="T32" s="35"/>
      <c r="U32" s="35"/>
    </row>
    <row r="33" spans="1:21" s="56" customFormat="1" ht="12" customHeight="1" x14ac:dyDescent="0.25">
      <c r="A33" s="36" t="s">
        <v>215</v>
      </c>
      <c r="B33" s="37">
        <f>IFERROR(B32/(SUMIF(B39:T39,"Woonvertrek",B40:T40)*2+SUMIF(B39:T39,"Andere verblijfsruimte",B40:T40)),0)</f>
        <v>0</v>
      </c>
      <c r="C33" s="36" t="s">
        <v>12</v>
      </c>
      <c r="D33" s="35"/>
      <c r="E33" s="230"/>
      <c r="F33" s="230"/>
      <c r="G33" s="230"/>
      <c r="H33" s="230"/>
      <c r="I33" s="230"/>
      <c r="J33" s="230"/>
      <c r="K33" s="230"/>
      <c r="L33" s="230"/>
      <c r="M33" s="230"/>
      <c r="N33" s="230"/>
      <c r="O33" s="230"/>
      <c r="P33" s="230"/>
      <c r="Q33" s="35"/>
      <c r="R33" s="35"/>
      <c r="S33" s="35"/>
      <c r="T33" s="35"/>
      <c r="U33" s="35"/>
    </row>
    <row r="34" spans="1:21" s="56" customFormat="1" ht="12" customHeight="1" x14ac:dyDescent="0.2">
      <c r="A34" s="35"/>
      <c r="B34" s="35"/>
      <c r="C34" s="35"/>
      <c r="D34" s="35"/>
      <c r="E34" s="35"/>
      <c r="F34" s="35"/>
      <c r="G34" s="35"/>
      <c r="H34" s="35"/>
      <c r="I34" s="35"/>
      <c r="J34" s="35"/>
      <c r="K34" s="35"/>
      <c r="L34" s="35"/>
      <c r="M34" s="35"/>
      <c r="N34" s="35"/>
      <c r="O34" s="35"/>
      <c r="P34" s="35"/>
      <c r="Q34" s="35"/>
      <c r="R34" s="35"/>
      <c r="S34" s="35"/>
      <c r="T34" s="35"/>
      <c r="U34" s="35"/>
    </row>
    <row r="35" spans="1:21" ht="24" customHeight="1" x14ac:dyDescent="0.2">
      <c r="A35" s="228" t="s">
        <v>110</v>
      </c>
      <c r="B35" s="228"/>
      <c r="C35" s="228"/>
      <c r="D35" s="228"/>
      <c r="E35" s="228"/>
      <c r="F35" s="228"/>
      <c r="G35" s="228"/>
      <c r="H35" s="228"/>
      <c r="I35" s="228"/>
      <c r="J35" s="228"/>
      <c r="K35" s="228"/>
      <c r="L35" s="228"/>
      <c r="M35" s="228"/>
      <c r="N35" s="228"/>
      <c r="O35" s="228"/>
      <c r="P35" s="228"/>
      <c r="Q35" s="228"/>
      <c r="R35" s="228"/>
      <c r="S35" s="228"/>
      <c r="T35" s="228"/>
      <c r="U35" s="228"/>
    </row>
    <row r="36" spans="1:21" s="56" customFormat="1" ht="12" customHeight="1" x14ac:dyDescent="0.2">
      <c r="A36" s="35"/>
      <c r="B36" s="35"/>
      <c r="C36" s="35"/>
      <c r="D36" s="35"/>
      <c r="E36" s="35"/>
      <c r="F36" s="35"/>
      <c r="G36" s="35"/>
      <c r="H36" s="35"/>
      <c r="I36" s="35"/>
      <c r="J36" s="35"/>
      <c r="K36" s="35"/>
      <c r="L36" s="35"/>
      <c r="M36" s="35"/>
      <c r="N36" s="35"/>
      <c r="O36" s="35"/>
      <c r="P36" s="35"/>
      <c r="Q36" s="35"/>
      <c r="R36" s="35"/>
      <c r="S36" s="35"/>
      <c r="T36" s="35"/>
      <c r="U36" s="35"/>
    </row>
    <row r="37" spans="1:21" s="56" customFormat="1" ht="12" customHeight="1" x14ac:dyDescent="0.2">
      <c r="A37" s="35"/>
      <c r="B37" s="105" t="s">
        <v>192</v>
      </c>
      <c r="C37" s="36"/>
      <c r="D37" s="105" t="s">
        <v>197</v>
      </c>
      <c r="E37" s="36"/>
      <c r="F37" s="105" t="s">
        <v>198</v>
      </c>
      <c r="G37" s="36"/>
      <c r="H37" s="105" t="s">
        <v>199</v>
      </c>
      <c r="I37" s="36"/>
      <c r="J37" s="105" t="s">
        <v>200</v>
      </c>
      <c r="K37" s="36"/>
      <c r="L37" s="105" t="s">
        <v>201</v>
      </c>
      <c r="M37" s="36"/>
      <c r="N37" s="105" t="s">
        <v>202</v>
      </c>
      <c r="O37" s="35"/>
      <c r="P37" s="105" t="s">
        <v>208</v>
      </c>
      <c r="Q37" s="36"/>
      <c r="R37" s="105" t="s">
        <v>209</v>
      </c>
      <c r="S37" s="36"/>
      <c r="T37" s="105" t="s">
        <v>210</v>
      </c>
      <c r="U37" s="35"/>
    </row>
    <row r="38" spans="1:21" s="56" customFormat="1" ht="12" customHeight="1" x14ac:dyDescent="0.2">
      <c r="A38" s="36" t="s">
        <v>107</v>
      </c>
      <c r="B38" s="73" t="str">
        <f>IF('Ruimte 1'!$B$3=0,"",'Ruimte 1'!$B$3)</f>
        <v/>
      </c>
      <c r="C38" s="36"/>
      <c r="D38" s="73" t="str">
        <f>IF('Ruimte 2'!$B$3=0,"",'Ruimte 2'!$B$3)</f>
        <v/>
      </c>
      <c r="E38" s="36"/>
      <c r="F38" s="73" t="str">
        <f>IF('Ruimte 3'!$B$3=0,"",'Ruimte 3'!$B$3)</f>
        <v/>
      </c>
      <c r="G38" s="36"/>
      <c r="H38" s="73" t="str">
        <f>IF('Ruimte 4'!$B$3=0,"",'Ruimte 4'!$B$3)</f>
        <v/>
      </c>
      <c r="I38" s="36"/>
      <c r="J38" s="73" t="str">
        <f>IF('Ruimte 5'!$B$3=0,"",'Ruimte 5'!$B$3)</f>
        <v/>
      </c>
      <c r="K38" s="36"/>
      <c r="L38" s="73" t="str">
        <f>IF('Ruimte 6'!$B$3=0,"",'Ruimte 6'!$B$3)</f>
        <v/>
      </c>
      <c r="M38" s="36"/>
      <c r="N38" s="73" t="str">
        <f>IF('Ruimte 7'!$B$3=0,"",'Ruimte 7'!$B$3)</f>
        <v/>
      </c>
      <c r="O38" s="36"/>
      <c r="P38" s="73" t="str">
        <f>IF('Ruimte 8'!$B$3=0,"",'Ruimte 8'!$B$3)</f>
        <v/>
      </c>
      <c r="Q38" s="36"/>
      <c r="R38" s="73" t="str">
        <f>IF('Ruimte 9'!$B$3=0,"",'Ruimte 9'!$B$3)</f>
        <v/>
      </c>
      <c r="S38" s="36"/>
      <c r="T38" s="73" t="str">
        <f>IF('Ruimte 10'!$B$3=0,"",'Ruimte 10'!$B$3)</f>
        <v/>
      </c>
      <c r="U38" s="36"/>
    </row>
    <row r="39" spans="1:21" s="56" customFormat="1" ht="12" customHeight="1" x14ac:dyDescent="0.2">
      <c r="A39" s="36" t="s">
        <v>191</v>
      </c>
      <c r="B39" s="37" t="str">
        <f>'Ruimte 1'!$B$4</f>
        <v>Andere verblijfsruimte</v>
      </c>
      <c r="C39" s="36"/>
      <c r="D39" s="37" t="str">
        <f>'Ruimte 2'!$B$4</f>
        <v>Andere verblijfsruimte</v>
      </c>
      <c r="E39" s="36"/>
      <c r="F39" s="37" t="str">
        <f>'Ruimte 3'!$B$4</f>
        <v>Andere verblijfsruimte</v>
      </c>
      <c r="G39" s="36"/>
      <c r="H39" s="37" t="str">
        <f>'Ruimte 4'!$B$4</f>
        <v>Andere verblijfsruimte</v>
      </c>
      <c r="I39" s="36"/>
      <c r="J39" s="37" t="str">
        <f>'Ruimte 5'!$B$4</f>
        <v>Andere verblijfsruimte</v>
      </c>
      <c r="K39" s="36"/>
      <c r="L39" s="37" t="str">
        <f>'Ruimte 6'!$B$4</f>
        <v>Andere verblijfsruimte</v>
      </c>
      <c r="M39" s="36"/>
      <c r="N39" s="37" t="str">
        <f>'Ruimte 7'!$B$4</f>
        <v>Andere verblijfsruimte</v>
      </c>
      <c r="O39" s="36"/>
      <c r="P39" s="37" t="str">
        <f>'Ruimte 8'!$B$4</f>
        <v>Andere verblijfsruimte</v>
      </c>
      <c r="Q39" s="36"/>
      <c r="R39" s="37" t="str">
        <f>'Ruimte 9'!$B$4</f>
        <v>Andere verblijfsruimte</v>
      </c>
      <c r="S39" s="36"/>
      <c r="T39" s="37" t="str">
        <f>'Ruimte 10'!$B$4</f>
        <v>Andere verblijfsruimte</v>
      </c>
      <c r="U39" s="36"/>
    </row>
    <row r="40" spans="1:21" s="57" customFormat="1" ht="11.25" customHeight="1" x14ac:dyDescent="0.2">
      <c r="A40" s="36" t="s">
        <v>179</v>
      </c>
      <c r="B40" s="37">
        <f>'Ruimte 1'!$B$5</f>
        <v>0</v>
      </c>
      <c r="C40" s="36" t="s">
        <v>0</v>
      </c>
      <c r="D40" s="37">
        <f>'Ruimte 2'!$B$5</f>
        <v>0</v>
      </c>
      <c r="E40" s="36" t="s">
        <v>0</v>
      </c>
      <c r="F40" s="37">
        <f>'Ruimte 3'!$B$5</f>
        <v>0</v>
      </c>
      <c r="G40" s="36" t="s">
        <v>0</v>
      </c>
      <c r="H40" s="37">
        <f>'Ruimte 4'!$B$5</f>
        <v>0</v>
      </c>
      <c r="I40" s="36" t="s">
        <v>0</v>
      </c>
      <c r="J40" s="37">
        <f>'Ruimte 5'!$B$5</f>
        <v>0</v>
      </c>
      <c r="K40" s="36" t="s">
        <v>0</v>
      </c>
      <c r="L40" s="37">
        <f>'Ruimte 6'!$B$5</f>
        <v>0</v>
      </c>
      <c r="M40" s="36" t="s">
        <v>0</v>
      </c>
      <c r="N40" s="37">
        <f>'Ruimte 7'!$B$5</f>
        <v>0</v>
      </c>
      <c r="O40" s="36" t="s">
        <v>0</v>
      </c>
      <c r="P40" s="37">
        <f>'Ruimte 8'!$B$5</f>
        <v>0</v>
      </c>
      <c r="Q40" s="36" t="s">
        <v>0</v>
      </c>
      <c r="R40" s="37">
        <f>'Ruimte 9'!$B$5</f>
        <v>0</v>
      </c>
      <c r="S40" s="36" t="s">
        <v>0</v>
      </c>
      <c r="T40" s="37">
        <f>'Ruimte 10'!$B$5</f>
        <v>0</v>
      </c>
      <c r="U40" s="36" t="s">
        <v>0</v>
      </c>
    </row>
    <row r="41" spans="1:21" s="56" customFormat="1" ht="12" customHeight="1" x14ac:dyDescent="0.2">
      <c r="A41" s="35"/>
      <c r="B41" s="35"/>
      <c r="C41" s="35"/>
      <c r="D41" s="35"/>
      <c r="E41" s="35"/>
      <c r="F41" s="35"/>
      <c r="G41" s="35"/>
      <c r="H41" s="35"/>
      <c r="I41" s="35"/>
      <c r="J41" s="35"/>
      <c r="K41" s="35"/>
      <c r="L41" s="35"/>
      <c r="M41" s="35"/>
      <c r="N41" s="35"/>
      <c r="O41" s="35"/>
      <c r="P41" s="35"/>
      <c r="Q41" s="35"/>
      <c r="R41" s="35"/>
      <c r="S41" s="35"/>
      <c r="T41" s="35"/>
      <c r="U41" s="35"/>
    </row>
    <row r="42" spans="1:21" s="56" customFormat="1" ht="12" customHeight="1" x14ac:dyDescent="0.25">
      <c r="A42" s="66" t="s">
        <v>150</v>
      </c>
      <c r="B42" s="38" t="str">
        <f>'Ruimte 1'!$B$53</f>
        <v/>
      </c>
      <c r="C42" s="36" t="s">
        <v>2</v>
      </c>
      <c r="D42" s="38" t="str">
        <f>'Ruimte 2'!$B$53</f>
        <v/>
      </c>
      <c r="E42" s="36" t="s">
        <v>2</v>
      </c>
      <c r="F42" s="38" t="str">
        <f>'Ruimte 3'!$B$53</f>
        <v/>
      </c>
      <c r="G42" s="36" t="s">
        <v>2</v>
      </c>
      <c r="H42" s="38" t="str">
        <f>'Ruimte 4'!$B$53</f>
        <v/>
      </c>
      <c r="I42" s="36" t="s">
        <v>2</v>
      </c>
      <c r="J42" s="38" t="str">
        <f>'Ruimte 5'!$B$53</f>
        <v/>
      </c>
      <c r="K42" s="36" t="s">
        <v>2</v>
      </c>
      <c r="L42" s="38" t="str">
        <f>'Ruimte 6'!$B$53</f>
        <v/>
      </c>
      <c r="M42" s="36" t="s">
        <v>2</v>
      </c>
      <c r="N42" s="38" t="str">
        <f>'Ruimte 7'!$B$53</f>
        <v/>
      </c>
      <c r="O42" s="36" t="s">
        <v>2</v>
      </c>
      <c r="P42" s="38" t="str">
        <f>'Ruimte 8'!$B$53</f>
        <v/>
      </c>
      <c r="Q42" s="36" t="s">
        <v>2</v>
      </c>
      <c r="R42" s="38" t="str">
        <f>'Ruimte 9'!$B$53</f>
        <v/>
      </c>
      <c r="S42" s="36" t="s">
        <v>2</v>
      </c>
      <c r="T42" s="38" t="str">
        <f>'Ruimte 10'!$B$53</f>
        <v/>
      </c>
      <c r="U42" s="36" t="s">
        <v>2</v>
      </c>
    </row>
    <row r="43" spans="1:21" s="56" customFormat="1" ht="12" customHeight="1" x14ac:dyDescent="0.25">
      <c r="A43" s="36" t="s">
        <v>144</v>
      </c>
      <c r="B43" s="74">
        <f>'Ruimte 1'!$B$60</f>
        <v>0</v>
      </c>
      <c r="C43" s="36" t="s">
        <v>11</v>
      </c>
      <c r="D43" s="74">
        <f>'Ruimte 2'!$B$60</f>
        <v>0</v>
      </c>
      <c r="E43" s="36" t="s">
        <v>11</v>
      </c>
      <c r="F43" s="74">
        <f>'Ruimte 3'!$B$60</f>
        <v>0</v>
      </c>
      <c r="G43" s="36" t="s">
        <v>11</v>
      </c>
      <c r="H43" s="74">
        <f>'Ruimte 4'!$B$60</f>
        <v>0</v>
      </c>
      <c r="I43" s="36" t="s">
        <v>11</v>
      </c>
      <c r="J43" s="74">
        <f>'Ruimte 5'!$B$60</f>
        <v>0</v>
      </c>
      <c r="K43" s="36" t="s">
        <v>11</v>
      </c>
      <c r="L43" s="74">
        <f>'Ruimte 6'!$B$60</f>
        <v>0</v>
      </c>
      <c r="M43" s="36" t="s">
        <v>11</v>
      </c>
      <c r="N43" s="74">
        <f>'Ruimte 7'!$B$60</f>
        <v>0</v>
      </c>
      <c r="O43" s="36" t="s">
        <v>11</v>
      </c>
      <c r="P43" s="74">
        <f>'Ruimte 8'!$B$60</f>
        <v>0</v>
      </c>
      <c r="Q43" s="36" t="s">
        <v>11</v>
      </c>
      <c r="R43" s="74">
        <f>'Ruimte 9'!$B$60</f>
        <v>0</v>
      </c>
      <c r="S43" s="36" t="s">
        <v>11</v>
      </c>
      <c r="T43" s="74">
        <f>'Ruimte 10'!$B$60</f>
        <v>0</v>
      </c>
      <c r="U43" s="36" t="s">
        <v>11</v>
      </c>
    </row>
    <row r="44" spans="1:21" s="56" customFormat="1" ht="12" customHeight="1" x14ac:dyDescent="0.25">
      <c r="A44" s="36" t="s">
        <v>145</v>
      </c>
      <c r="B44" s="74">
        <f>'Ruimte 1'!$B$61</f>
        <v>0</v>
      </c>
      <c r="C44" s="36" t="s">
        <v>11</v>
      </c>
      <c r="D44" s="74">
        <f>'Ruimte 2'!$B$61</f>
        <v>0</v>
      </c>
      <c r="E44" s="36" t="s">
        <v>11</v>
      </c>
      <c r="F44" s="74">
        <f>'Ruimte 3'!$B$61</f>
        <v>0</v>
      </c>
      <c r="G44" s="36" t="s">
        <v>11</v>
      </c>
      <c r="H44" s="74">
        <f>'Ruimte 4'!$B$61</f>
        <v>0</v>
      </c>
      <c r="I44" s="36" t="s">
        <v>11</v>
      </c>
      <c r="J44" s="74">
        <f>'Ruimte 5'!$B$61</f>
        <v>0</v>
      </c>
      <c r="K44" s="36" t="s">
        <v>11</v>
      </c>
      <c r="L44" s="74">
        <f>'Ruimte 6'!$B$61</f>
        <v>0</v>
      </c>
      <c r="M44" s="36" t="s">
        <v>11</v>
      </c>
      <c r="N44" s="74">
        <f>'Ruimte 7'!$B$61</f>
        <v>0</v>
      </c>
      <c r="O44" s="36" t="s">
        <v>11</v>
      </c>
      <c r="P44" s="74">
        <f>'Ruimte 8'!$B$61</f>
        <v>0</v>
      </c>
      <c r="Q44" s="36" t="s">
        <v>11</v>
      </c>
      <c r="R44" s="74">
        <f>'Ruimte 9'!$B$61</f>
        <v>0</v>
      </c>
      <c r="S44" s="36" t="s">
        <v>11</v>
      </c>
      <c r="T44" s="74">
        <f>'Ruimte 10'!$B$61</f>
        <v>0</v>
      </c>
      <c r="U44" s="36" t="s">
        <v>11</v>
      </c>
    </row>
    <row r="45" spans="1:21" s="56" customFormat="1" ht="12" customHeight="1" x14ac:dyDescent="0.25">
      <c r="A45" s="36" t="s">
        <v>141</v>
      </c>
      <c r="B45" s="74">
        <f>SUM('Ruimte 1'!$B$55:$T$55)</f>
        <v>0</v>
      </c>
      <c r="C45" s="36" t="s">
        <v>11</v>
      </c>
      <c r="D45" s="74">
        <f>SUM('Ruimte 2'!$B$55:$T$55)</f>
        <v>0</v>
      </c>
      <c r="E45" s="36" t="s">
        <v>11</v>
      </c>
      <c r="F45" s="74">
        <f>SUM('Ruimte 3'!$B$55:$T$55)</f>
        <v>0</v>
      </c>
      <c r="G45" s="36" t="s">
        <v>11</v>
      </c>
      <c r="H45" s="74">
        <f>SUM('Ruimte 4'!$B$55:$T$55)</f>
        <v>0</v>
      </c>
      <c r="I45" s="36" t="s">
        <v>11</v>
      </c>
      <c r="J45" s="74">
        <f>SUM('Ruimte 5'!$B$55:$T$55)</f>
        <v>0</v>
      </c>
      <c r="K45" s="36" t="s">
        <v>11</v>
      </c>
      <c r="L45" s="74">
        <f>SUM('Ruimte 6'!$B$55:$T$55)</f>
        <v>0</v>
      </c>
      <c r="M45" s="36" t="s">
        <v>11</v>
      </c>
      <c r="N45" s="74">
        <f>SUM('Ruimte 7'!$B$55:$T$55)</f>
        <v>0</v>
      </c>
      <c r="O45" s="36" t="s">
        <v>11</v>
      </c>
      <c r="P45" s="74">
        <f>SUM('Ruimte 8'!$B$55:$T$55)</f>
        <v>0</v>
      </c>
      <c r="Q45" s="36" t="s">
        <v>11</v>
      </c>
      <c r="R45" s="74">
        <f>SUM('Ruimte 9'!$B$55:$T$55)</f>
        <v>0</v>
      </c>
      <c r="S45" s="36" t="s">
        <v>11</v>
      </c>
      <c r="T45" s="74">
        <f>SUM('Ruimte 10'!$B$55:$T$55)</f>
        <v>0</v>
      </c>
      <c r="U45" s="36" t="s">
        <v>11</v>
      </c>
    </row>
    <row r="46" spans="1:21" s="56" customFormat="1" ht="12" customHeight="1" x14ac:dyDescent="0.25">
      <c r="A46" s="72" t="s">
        <v>142</v>
      </c>
      <c r="B46" s="74">
        <f>SUM('Ruimte 1'!$B$56:$T$56)</f>
        <v>0</v>
      </c>
      <c r="C46" s="36" t="s">
        <v>11</v>
      </c>
      <c r="D46" s="74">
        <f>SUM('Ruimte 2'!$B$56:$T$56)</f>
        <v>0</v>
      </c>
      <c r="E46" s="36" t="s">
        <v>11</v>
      </c>
      <c r="F46" s="74">
        <f>SUM('Ruimte 3'!$B$56:$T$56)</f>
        <v>0</v>
      </c>
      <c r="G46" s="36" t="s">
        <v>11</v>
      </c>
      <c r="H46" s="74">
        <f>SUM('Ruimte 4'!$B$56:$T$56)</f>
        <v>0</v>
      </c>
      <c r="I46" s="36" t="s">
        <v>11</v>
      </c>
      <c r="J46" s="74">
        <f>SUM('Ruimte 5'!$B$56:$T$56)</f>
        <v>0</v>
      </c>
      <c r="K46" s="36" t="s">
        <v>11</v>
      </c>
      <c r="L46" s="74">
        <f>SUM('Ruimte 6'!$B$56:$T$56)</f>
        <v>0</v>
      </c>
      <c r="M46" s="36" t="s">
        <v>11</v>
      </c>
      <c r="N46" s="74">
        <f>SUM('Ruimte 7'!$B$56:$T$56)</f>
        <v>0</v>
      </c>
      <c r="O46" s="36" t="s">
        <v>11</v>
      </c>
      <c r="P46" s="74">
        <f>SUM('Ruimte 8'!$B$56:$T$56)</f>
        <v>0</v>
      </c>
      <c r="Q46" s="36" t="s">
        <v>11</v>
      </c>
      <c r="R46" s="74">
        <f>SUM('Ruimte 9'!$B$56:$T$56)</f>
        <v>0</v>
      </c>
      <c r="S46" s="36" t="s">
        <v>11</v>
      </c>
      <c r="T46" s="74">
        <f>SUM('Ruimte 10'!$B$56:$T$56)</f>
        <v>0</v>
      </c>
      <c r="U46" s="36" t="s">
        <v>11</v>
      </c>
    </row>
    <row r="47" spans="1:21" s="56" customFormat="1" ht="12" customHeight="1" x14ac:dyDescent="0.25">
      <c r="A47" s="72" t="s">
        <v>143</v>
      </c>
      <c r="B47" s="74">
        <f>SUM('Ruimte 1'!$B$57:$T$57)</f>
        <v>0</v>
      </c>
      <c r="C47" s="36" t="s">
        <v>11</v>
      </c>
      <c r="D47" s="74">
        <f>SUM('Ruimte 2'!$B$57:$T$57)</f>
        <v>0</v>
      </c>
      <c r="E47" s="36" t="s">
        <v>11</v>
      </c>
      <c r="F47" s="74">
        <f>SUM('Ruimte 3'!$B$57:$T$57)</f>
        <v>0</v>
      </c>
      <c r="G47" s="36" t="s">
        <v>11</v>
      </c>
      <c r="H47" s="74">
        <f>SUM('Ruimte 4'!$B$57:$T$57)</f>
        <v>0</v>
      </c>
      <c r="I47" s="36" t="s">
        <v>11</v>
      </c>
      <c r="J47" s="74">
        <f>SUM('Ruimte 5'!$B$57:$T$57)</f>
        <v>0</v>
      </c>
      <c r="K47" s="36" t="s">
        <v>11</v>
      </c>
      <c r="L47" s="74">
        <f>SUM('Ruimte 6'!$B$57:$T$57)</f>
        <v>0</v>
      </c>
      <c r="M47" s="36" t="s">
        <v>11</v>
      </c>
      <c r="N47" s="74">
        <f>SUM('Ruimte 7'!$B$57:$T$57)</f>
        <v>0</v>
      </c>
      <c r="O47" s="36" t="s">
        <v>11</v>
      </c>
      <c r="P47" s="74">
        <f>SUM('Ruimte 8'!$B$57:$T$57)</f>
        <v>0</v>
      </c>
      <c r="Q47" s="36" t="s">
        <v>11</v>
      </c>
      <c r="R47" s="74">
        <f>SUM('Ruimte 9'!$B$57:$T$57)</f>
        <v>0</v>
      </c>
      <c r="S47" s="36" t="s">
        <v>11</v>
      </c>
      <c r="T47" s="74">
        <f>SUM('Ruimte 10'!$B$57:$T$57)</f>
        <v>0</v>
      </c>
      <c r="U47" s="36" t="s">
        <v>11</v>
      </c>
    </row>
    <row r="48" spans="1:21" s="56" customFormat="1" ht="12" customHeight="1" x14ac:dyDescent="0.2">
      <c r="A48" s="35"/>
      <c r="B48" s="35"/>
      <c r="C48" s="35"/>
      <c r="D48" s="35"/>
      <c r="E48" s="35"/>
      <c r="F48" s="35"/>
      <c r="G48" s="35"/>
      <c r="H48" s="35"/>
      <c r="I48" s="35"/>
      <c r="J48" s="35"/>
      <c r="K48" s="35"/>
      <c r="L48" s="35"/>
      <c r="M48" s="35"/>
      <c r="N48" s="35"/>
      <c r="O48" s="35"/>
      <c r="P48" s="35"/>
      <c r="Q48" s="35"/>
      <c r="R48" s="35"/>
      <c r="S48" s="35"/>
      <c r="T48" s="35"/>
      <c r="U48" s="35"/>
    </row>
    <row r="49" spans="1:21" s="56" customFormat="1" ht="12" customHeight="1" x14ac:dyDescent="0.2">
      <c r="A49" s="72" t="s">
        <v>99</v>
      </c>
      <c r="B49" s="38">
        <f>IFERROR(SUM(B43:B47)/B40,0)</f>
        <v>0</v>
      </c>
      <c r="C49" s="36" t="s">
        <v>12</v>
      </c>
      <c r="D49" s="38">
        <f>IFERROR(SUM(D43:D47)/D40,0)</f>
        <v>0</v>
      </c>
      <c r="E49" s="36" t="s">
        <v>12</v>
      </c>
      <c r="F49" s="38">
        <f>IFERROR(SUM(F43:F47)/F40,0)</f>
        <v>0</v>
      </c>
      <c r="G49" s="36" t="s">
        <v>12</v>
      </c>
      <c r="H49" s="38">
        <f>IFERROR(SUM(H43:H47)/H40,0)</f>
        <v>0</v>
      </c>
      <c r="I49" s="36" t="s">
        <v>12</v>
      </c>
      <c r="J49" s="38">
        <f>IFERROR(SUM(J43:J47)/J40,0)</f>
        <v>0</v>
      </c>
      <c r="K49" s="36" t="s">
        <v>12</v>
      </c>
      <c r="L49" s="38">
        <f>IFERROR(SUM(L43:L47)/L40,0)</f>
        <v>0</v>
      </c>
      <c r="M49" s="36" t="s">
        <v>12</v>
      </c>
      <c r="N49" s="38">
        <f>IFERROR(SUM(N43:N47)/N40,0)</f>
        <v>0</v>
      </c>
      <c r="O49" s="36" t="s">
        <v>12</v>
      </c>
      <c r="P49" s="38">
        <f>IFERROR(SUM(P43:P47)/P40,0)</f>
        <v>0</v>
      </c>
      <c r="Q49" s="36" t="s">
        <v>12</v>
      </c>
      <c r="R49" s="38">
        <f>IFERROR(SUM(R43:R47)/R40,0)</f>
        <v>0</v>
      </c>
      <c r="S49" s="36" t="s">
        <v>12</v>
      </c>
      <c r="T49" s="38">
        <f>IFERROR(SUM(T43:T47)/T40,0)</f>
        <v>0</v>
      </c>
      <c r="U49" s="36" t="s">
        <v>12</v>
      </c>
    </row>
    <row r="50" spans="1:21" s="56" customFormat="1" ht="12" customHeight="1" x14ac:dyDescent="0.2">
      <c r="A50" s="72" t="s">
        <v>178</v>
      </c>
      <c r="B50" s="38">
        <v>35</v>
      </c>
      <c r="C50" s="36" t="s">
        <v>12</v>
      </c>
      <c r="D50" s="38">
        <v>35</v>
      </c>
      <c r="E50" s="36" t="s">
        <v>12</v>
      </c>
      <c r="F50" s="38">
        <v>35</v>
      </c>
      <c r="G50" s="36" t="s">
        <v>12</v>
      </c>
      <c r="H50" s="38">
        <v>35</v>
      </c>
      <c r="I50" s="36" t="s">
        <v>12</v>
      </c>
      <c r="J50" s="38">
        <v>35</v>
      </c>
      <c r="K50" s="36" t="s">
        <v>12</v>
      </c>
      <c r="L50" s="38">
        <v>35</v>
      </c>
      <c r="M50" s="36" t="s">
        <v>12</v>
      </c>
      <c r="N50" s="38">
        <v>35</v>
      </c>
      <c r="O50" s="36" t="s">
        <v>12</v>
      </c>
      <c r="P50" s="38">
        <v>35</v>
      </c>
      <c r="Q50" s="36" t="s">
        <v>12</v>
      </c>
      <c r="R50" s="38">
        <v>35</v>
      </c>
      <c r="S50" s="36" t="s">
        <v>12</v>
      </c>
      <c r="T50" s="38">
        <v>35</v>
      </c>
      <c r="U50" s="36" t="s">
        <v>12</v>
      </c>
    </row>
    <row r="51" spans="1:21" s="56" customFormat="1" ht="12" customHeight="1" x14ac:dyDescent="0.2">
      <c r="A51" s="72" t="s">
        <v>177</v>
      </c>
      <c r="B51" s="38">
        <f>MAX(0,B49-B50)</f>
        <v>0</v>
      </c>
      <c r="C51" s="36" t="s">
        <v>12</v>
      </c>
      <c r="D51" s="38">
        <f>MAX(0,D49-D50)</f>
        <v>0</v>
      </c>
      <c r="E51" s="36" t="s">
        <v>12</v>
      </c>
      <c r="F51" s="38">
        <f>MAX(0,F49-F50)</f>
        <v>0</v>
      </c>
      <c r="G51" s="36" t="s">
        <v>12</v>
      </c>
      <c r="H51" s="38">
        <f>MAX(0,H49-H50)</f>
        <v>0</v>
      </c>
      <c r="I51" s="36" t="s">
        <v>12</v>
      </c>
      <c r="J51" s="38">
        <f>MAX(0,J49-J50)</f>
        <v>0</v>
      </c>
      <c r="K51" s="36" t="s">
        <v>12</v>
      </c>
      <c r="L51" s="38">
        <f>MAX(0,L49-L50)</f>
        <v>0</v>
      </c>
      <c r="M51" s="36" t="s">
        <v>12</v>
      </c>
      <c r="N51" s="38">
        <f>MAX(0,N49-N50)</f>
        <v>0</v>
      </c>
      <c r="O51" s="36" t="s">
        <v>12</v>
      </c>
      <c r="P51" s="38">
        <f>MAX(0,P49-P50)</f>
        <v>0</v>
      </c>
      <c r="Q51" s="36" t="s">
        <v>12</v>
      </c>
      <c r="R51" s="38">
        <f>MAX(0,R49-R50)</f>
        <v>0</v>
      </c>
      <c r="S51" s="36" t="s">
        <v>12</v>
      </c>
      <c r="T51" s="38">
        <f>MAX(0,T49-T50)</f>
        <v>0</v>
      </c>
      <c r="U51" s="36" t="s">
        <v>12</v>
      </c>
    </row>
    <row r="52" spans="1:21" s="56" customFormat="1" ht="12" customHeight="1" x14ac:dyDescent="0.2">
      <c r="A52" s="35"/>
      <c r="B52" s="35"/>
      <c r="C52" s="35"/>
      <c r="D52" s="35"/>
      <c r="E52" s="35"/>
      <c r="F52" s="35"/>
      <c r="G52" s="35"/>
      <c r="H52" s="35"/>
      <c r="I52" s="35"/>
      <c r="J52" s="35"/>
      <c r="K52" s="35"/>
      <c r="L52" s="35"/>
      <c r="M52" s="35"/>
      <c r="N52" s="35"/>
      <c r="O52" s="35"/>
      <c r="P52" s="35"/>
      <c r="Q52" s="35"/>
      <c r="R52" s="35"/>
      <c r="S52" s="35"/>
      <c r="T52" s="35"/>
      <c r="U52" s="35"/>
    </row>
    <row r="53" spans="1:21" ht="24" customHeight="1" x14ac:dyDescent="0.2">
      <c r="A53" s="228" t="s">
        <v>271</v>
      </c>
      <c r="B53" s="228"/>
      <c r="C53" s="228"/>
      <c r="D53" s="228"/>
      <c r="E53" s="228"/>
      <c r="F53" s="228"/>
      <c r="G53" s="228"/>
      <c r="H53" s="228"/>
      <c r="I53" s="228"/>
      <c r="J53" s="228"/>
      <c r="K53" s="228"/>
      <c r="L53" s="228"/>
      <c r="M53" s="228"/>
      <c r="N53" s="228"/>
      <c r="O53" s="228"/>
      <c r="P53" s="228"/>
      <c r="Q53" s="228"/>
      <c r="R53" s="228"/>
      <c r="S53" s="228"/>
      <c r="T53" s="228"/>
      <c r="U53" s="228"/>
    </row>
    <row r="54" spans="1:21" s="56" customFormat="1" ht="12" customHeight="1" x14ac:dyDescent="0.2">
      <c r="A54" s="35"/>
      <c r="B54" s="35"/>
      <c r="C54" s="35"/>
      <c r="D54" s="35"/>
      <c r="E54" s="35"/>
      <c r="F54" s="35"/>
      <c r="G54" s="35"/>
      <c r="H54" s="35"/>
      <c r="I54" s="35"/>
      <c r="J54" s="35"/>
      <c r="K54" s="35"/>
      <c r="L54" s="35"/>
      <c r="M54" s="35"/>
      <c r="N54" s="35"/>
      <c r="O54" s="35"/>
      <c r="P54" s="35"/>
      <c r="Q54" s="35"/>
      <c r="R54" s="35"/>
      <c r="S54" s="35"/>
      <c r="T54" s="35"/>
      <c r="U54" s="35"/>
    </row>
    <row r="55" spans="1:21" ht="12" x14ac:dyDescent="0.2">
      <c r="A55" s="72" t="str">
        <f>"Benodigde koelcapaciteit " &amp;B37&amp;IF(B38="",""," - " &amp;B38)</f>
        <v>Benodigde koelcapaciteit Ruimte 1</v>
      </c>
      <c r="B55" s="158">
        <f>B40*B51</f>
        <v>0</v>
      </c>
      <c r="C55" s="36" t="s">
        <v>11</v>
      </c>
      <c r="D55" s="38">
        <f>B51</f>
        <v>0</v>
      </c>
      <c r="E55" s="36" t="s">
        <v>12</v>
      </c>
      <c r="F55" s="226" t="str">
        <f>IF(D55&lt;=0,"De ruimte moet actief gekoeld worden, aan de minimaal benodigde koelcapaciteit in de ruimte wordt geen eis gesteld.", "De berekende koelcapaciteit moet minimaal gerealiseerd worden om het risico op oververhitting voldoende te beperken")</f>
        <v>De ruimte moet actief gekoeld worden, aan de minimaal benodigde koelcapaciteit in de ruimte wordt geen eis gesteld.</v>
      </c>
      <c r="G55" s="226"/>
      <c r="H55" s="226"/>
      <c r="I55" s="226"/>
      <c r="J55" s="226"/>
      <c r="K55" s="226"/>
      <c r="L55" s="226"/>
      <c r="M55" s="226"/>
      <c r="N55" s="226"/>
      <c r="O55" s="35"/>
      <c r="P55" s="35"/>
      <c r="Q55" s="35"/>
      <c r="R55" s="35"/>
      <c r="S55" s="35"/>
      <c r="T55" s="35"/>
      <c r="U55" s="35"/>
    </row>
    <row r="56" spans="1:21" ht="12" x14ac:dyDescent="0.2">
      <c r="A56" s="72" t="str">
        <f>"Benodigde koelcapaciteit " &amp;D37&amp;IF(D38="",""," - " &amp;D38)</f>
        <v>Benodigde koelcapaciteit Ruimte 2</v>
      </c>
      <c r="B56" s="158">
        <f>D40*D51</f>
        <v>0</v>
      </c>
      <c r="C56" s="36" t="s">
        <v>11</v>
      </c>
      <c r="D56" s="38">
        <f>D51</f>
        <v>0</v>
      </c>
      <c r="E56" s="36" t="s">
        <v>12</v>
      </c>
      <c r="F56" s="226" t="str">
        <f t="shared" ref="F56:F64" si="0">IF(D56&lt;=0,"De ruimte moet actief gekoeld worden, aan de minimaal benodigde koelcapaciteit in de ruimte wordt geen eis gesteld.", "De berekende koelcapaciteit moet minimaal gerealiseerd worden om het risico op oververhitting voldoende te beperken")</f>
        <v>De ruimte moet actief gekoeld worden, aan de minimaal benodigde koelcapaciteit in de ruimte wordt geen eis gesteld.</v>
      </c>
      <c r="G56" s="226"/>
      <c r="H56" s="226"/>
      <c r="I56" s="226"/>
      <c r="J56" s="226"/>
      <c r="K56" s="226"/>
      <c r="L56" s="226"/>
      <c r="M56" s="226"/>
      <c r="N56" s="226"/>
      <c r="O56" s="35"/>
      <c r="P56" s="35"/>
      <c r="Q56" s="35"/>
      <c r="R56" s="35"/>
      <c r="S56" s="35"/>
      <c r="T56" s="35"/>
      <c r="U56" s="35"/>
    </row>
    <row r="57" spans="1:21" ht="12" x14ac:dyDescent="0.2">
      <c r="A57" s="72" t="str">
        <f>"Benodigde koelcapaciteit " &amp;F37&amp;IF(F38="",""," - " &amp;F38)</f>
        <v>Benodigde koelcapaciteit Ruimte 3</v>
      </c>
      <c r="B57" s="158">
        <f>F40*F51</f>
        <v>0</v>
      </c>
      <c r="C57" s="36" t="s">
        <v>11</v>
      </c>
      <c r="D57" s="38">
        <f>F51</f>
        <v>0</v>
      </c>
      <c r="E57" s="36" t="s">
        <v>12</v>
      </c>
      <c r="F57" s="226" t="str">
        <f t="shared" si="0"/>
        <v>De ruimte moet actief gekoeld worden, aan de minimaal benodigde koelcapaciteit in de ruimte wordt geen eis gesteld.</v>
      </c>
      <c r="G57" s="226"/>
      <c r="H57" s="226"/>
      <c r="I57" s="226"/>
      <c r="J57" s="226"/>
      <c r="K57" s="226"/>
      <c r="L57" s="226"/>
      <c r="M57" s="226"/>
      <c r="N57" s="226"/>
      <c r="O57" s="35"/>
      <c r="P57" s="35"/>
      <c r="Q57" s="35"/>
      <c r="R57" s="35"/>
      <c r="S57" s="35"/>
      <c r="T57" s="35"/>
      <c r="U57" s="35"/>
    </row>
    <row r="58" spans="1:21" ht="12" x14ac:dyDescent="0.2">
      <c r="A58" s="72" t="str">
        <f>"Benodigde koelcapaciteit " &amp;H37&amp;IF(H38="",""," - " &amp;H38)</f>
        <v>Benodigde koelcapaciteit Ruimte 4</v>
      </c>
      <c r="B58" s="158">
        <f>H40*H51</f>
        <v>0</v>
      </c>
      <c r="C58" s="36" t="s">
        <v>11</v>
      </c>
      <c r="D58" s="38">
        <f>H51</f>
        <v>0</v>
      </c>
      <c r="E58" s="36" t="s">
        <v>12</v>
      </c>
      <c r="F58" s="226" t="str">
        <f t="shared" si="0"/>
        <v>De ruimte moet actief gekoeld worden, aan de minimaal benodigde koelcapaciteit in de ruimte wordt geen eis gesteld.</v>
      </c>
      <c r="G58" s="226"/>
      <c r="H58" s="226"/>
      <c r="I58" s="226"/>
      <c r="J58" s="226"/>
      <c r="K58" s="226"/>
      <c r="L58" s="226"/>
      <c r="M58" s="226"/>
      <c r="N58" s="226"/>
      <c r="O58" s="35"/>
      <c r="P58" s="35"/>
      <c r="Q58" s="35"/>
      <c r="R58" s="35"/>
      <c r="S58" s="35"/>
      <c r="T58" s="35"/>
      <c r="U58" s="35"/>
    </row>
    <row r="59" spans="1:21" ht="12" x14ac:dyDescent="0.2">
      <c r="A59" s="72" t="str">
        <f>"Benodigde koelcapaciteit " &amp;J37&amp;IF(J38="",""," - " &amp;J38)</f>
        <v>Benodigde koelcapaciteit Ruimte 5</v>
      </c>
      <c r="B59" s="158">
        <f>J40*J51</f>
        <v>0</v>
      </c>
      <c r="C59" s="36" t="s">
        <v>11</v>
      </c>
      <c r="D59" s="38">
        <f>J51</f>
        <v>0</v>
      </c>
      <c r="E59" s="36" t="s">
        <v>12</v>
      </c>
      <c r="F59" s="226" t="str">
        <f t="shared" si="0"/>
        <v>De ruimte moet actief gekoeld worden, aan de minimaal benodigde koelcapaciteit in de ruimte wordt geen eis gesteld.</v>
      </c>
      <c r="G59" s="226"/>
      <c r="H59" s="226"/>
      <c r="I59" s="226"/>
      <c r="J59" s="226"/>
      <c r="K59" s="226"/>
      <c r="L59" s="226"/>
      <c r="M59" s="226"/>
      <c r="N59" s="226"/>
      <c r="O59" s="35"/>
      <c r="P59" s="35"/>
      <c r="Q59" s="35"/>
      <c r="R59" s="35"/>
      <c r="S59" s="35"/>
      <c r="T59" s="35"/>
      <c r="U59" s="35"/>
    </row>
    <row r="60" spans="1:21" ht="12" x14ac:dyDescent="0.2">
      <c r="A60" s="72" t="str">
        <f>"Benodigde koelcapaciteit " &amp;L37&amp;IF(L38="",""," - " &amp;L38)</f>
        <v>Benodigde koelcapaciteit Ruimte 6</v>
      </c>
      <c r="B60" s="158">
        <f>L40*L51</f>
        <v>0</v>
      </c>
      <c r="C60" s="36" t="s">
        <v>11</v>
      </c>
      <c r="D60" s="38">
        <f>L51</f>
        <v>0</v>
      </c>
      <c r="E60" s="36" t="s">
        <v>12</v>
      </c>
      <c r="F60" s="226" t="str">
        <f t="shared" si="0"/>
        <v>De ruimte moet actief gekoeld worden, aan de minimaal benodigde koelcapaciteit in de ruimte wordt geen eis gesteld.</v>
      </c>
      <c r="G60" s="226"/>
      <c r="H60" s="226"/>
      <c r="I60" s="226"/>
      <c r="J60" s="226"/>
      <c r="K60" s="226"/>
      <c r="L60" s="226"/>
      <c r="M60" s="226"/>
      <c r="N60" s="226"/>
      <c r="O60" s="35"/>
      <c r="P60" s="35"/>
      <c r="Q60" s="35"/>
      <c r="R60" s="35"/>
      <c r="S60" s="35"/>
      <c r="T60" s="35"/>
      <c r="U60" s="35"/>
    </row>
    <row r="61" spans="1:21" ht="12" x14ac:dyDescent="0.2">
      <c r="A61" s="72" t="str">
        <f>"Benodigde koelcapaciteit " &amp;N37&amp;IF(N38="",""," - " &amp;N38)</f>
        <v>Benodigde koelcapaciteit Ruimte 7</v>
      </c>
      <c r="B61" s="158">
        <f>N40*N51</f>
        <v>0</v>
      </c>
      <c r="C61" s="36" t="s">
        <v>11</v>
      </c>
      <c r="D61" s="38">
        <f>N51</f>
        <v>0</v>
      </c>
      <c r="E61" s="36" t="s">
        <v>12</v>
      </c>
      <c r="F61" s="226" t="str">
        <f>IF(D61&lt;=0,"De ruimte moet actief gekoeld worden, aan de minimaal benodigde koelcapaciteit in de ruimte wordt geen eis gesteld.", "De berekende koelcapaciteit moet minimaal gerealiseerd worden om het risico op oververhitting voldoende te beperken")</f>
        <v>De ruimte moet actief gekoeld worden, aan de minimaal benodigde koelcapaciteit in de ruimte wordt geen eis gesteld.</v>
      </c>
      <c r="G61" s="226"/>
      <c r="H61" s="226"/>
      <c r="I61" s="226"/>
      <c r="J61" s="226"/>
      <c r="K61" s="226"/>
      <c r="L61" s="226"/>
      <c r="M61" s="226"/>
      <c r="N61" s="226"/>
      <c r="O61" s="35"/>
      <c r="P61" s="35"/>
      <c r="Q61" s="35"/>
      <c r="R61" s="35"/>
      <c r="S61" s="35"/>
      <c r="T61" s="35"/>
      <c r="U61" s="35"/>
    </row>
    <row r="62" spans="1:21" ht="12" x14ac:dyDescent="0.2">
      <c r="A62" s="72" t="str">
        <f>"Benodigde koelcapaciteit " &amp;P37&amp;IF(P38="",""," - " &amp;P38)</f>
        <v>Benodigde koelcapaciteit Ruimte 8</v>
      </c>
      <c r="B62" s="158">
        <f>P40*P51</f>
        <v>0</v>
      </c>
      <c r="C62" s="36" t="s">
        <v>11</v>
      </c>
      <c r="D62" s="38">
        <f>P51</f>
        <v>0</v>
      </c>
      <c r="E62" s="36" t="s">
        <v>12</v>
      </c>
      <c r="F62" s="226" t="str">
        <f t="shared" si="0"/>
        <v>De ruimte moet actief gekoeld worden, aan de minimaal benodigde koelcapaciteit in de ruimte wordt geen eis gesteld.</v>
      </c>
      <c r="G62" s="226"/>
      <c r="H62" s="226"/>
      <c r="I62" s="226"/>
      <c r="J62" s="226"/>
      <c r="K62" s="226"/>
      <c r="L62" s="226"/>
      <c r="M62" s="226"/>
      <c r="N62" s="226"/>
      <c r="O62" s="35"/>
      <c r="P62" s="35"/>
      <c r="Q62" s="35"/>
      <c r="R62" s="35"/>
      <c r="S62" s="35"/>
      <c r="T62" s="35"/>
      <c r="U62" s="35"/>
    </row>
    <row r="63" spans="1:21" ht="12" x14ac:dyDescent="0.2">
      <c r="A63" s="72" t="str">
        <f>"Benodigde koelcapaciteit " &amp;R37&amp;IF(R38="",""," - " &amp;R38)</f>
        <v>Benodigde koelcapaciteit Ruimte 9</v>
      </c>
      <c r="B63" s="158">
        <f>R40*R51</f>
        <v>0</v>
      </c>
      <c r="C63" s="36" t="s">
        <v>11</v>
      </c>
      <c r="D63" s="38">
        <f>R51</f>
        <v>0</v>
      </c>
      <c r="E63" s="36" t="s">
        <v>12</v>
      </c>
      <c r="F63" s="226" t="str">
        <f t="shared" si="0"/>
        <v>De ruimte moet actief gekoeld worden, aan de minimaal benodigde koelcapaciteit in de ruimte wordt geen eis gesteld.</v>
      </c>
      <c r="G63" s="226"/>
      <c r="H63" s="226"/>
      <c r="I63" s="226"/>
      <c r="J63" s="226"/>
      <c r="K63" s="226"/>
      <c r="L63" s="226"/>
      <c r="M63" s="226"/>
      <c r="N63" s="226"/>
      <c r="O63" s="35"/>
      <c r="P63" s="35"/>
      <c r="Q63" s="35"/>
      <c r="R63" s="35"/>
      <c r="S63" s="35"/>
      <c r="T63" s="35"/>
      <c r="U63" s="35"/>
    </row>
    <row r="64" spans="1:21" ht="12" x14ac:dyDescent="0.2">
      <c r="A64" s="72" t="str">
        <f>"Benodigde koelcapaciteit " &amp;T37&amp;IF(T38="",""," - " &amp;T38)</f>
        <v>Benodigde koelcapaciteit Ruimte 10</v>
      </c>
      <c r="B64" s="158">
        <f>T40*T51</f>
        <v>0</v>
      </c>
      <c r="C64" s="36" t="s">
        <v>11</v>
      </c>
      <c r="D64" s="38">
        <f>T51</f>
        <v>0</v>
      </c>
      <c r="E64" s="36" t="s">
        <v>12</v>
      </c>
      <c r="F64" s="226" t="str">
        <f t="shared" si="0"/>
        <v>De ruimte moet actief gekoeld worden, aan de minimaal benodigde koelcapaciteit in de ruimte wordt geen eis gesteld.</v>
      </c>
      <c r="G64" s="226"/>
      <c r="H64" s="226"/>
      <c r="I64" s="226"/>
      <c r="J64" s="226"/>
      <c r="K64" s="226"/>
      <c r="L64" s="226"/>
      <c r="M64" s="226"/>
      <c r="N64" s="226"/>
      <c r="O64" s="35"/>
      <c r="P64" s="35"/>
      <c r="Q64" s="35"/>
      <c r="R64" s="35"/>
      <c r="S64" s="35"/>
      <c r="T64" s="35"/>
      <c r="U64" s="35"/>
    </row>
    <row r="65" spans="1:22" ht="12" x14ac:dyDescent="0.2">
      <c r="A65" s="35"/>
      <c r="B65" s="35"/>
      <c r="C65" s="35"/>
      <c r="D65" s="35"/>
      <c r="E65" s="35"/>
      <c r="F65" s="35"/>
      <c r="G65" s="35"/>
      <c r="H65" s="35"/>
      <c r="I65" s="35"/>
      <c r="J65" s="35"/>
      <c r="K65" s="35"/>
      <c r="L65" s="35"/>
      <c r="M65" s="35"/>
      <c r="N65" s="35"/>
      <c r="O65" s="35"/>
      <c r="P65" s="35"/>
      <c r="Q65" s="35"/>
      <c r="R65" s="35"/>
      <c r="S65" s="35"/>
      <c r="T65" s="35"/>
      <c r="U65" s="35"/>
    </row>
    <row r="66" spans="1:22" ht="24" customHeight="1" x14ac:dyDescent="0.2">
      <c r="A66" s="228" t="s">
        <v>259</v>
      </c>
      <c r="B66" s="228"/>
      <c r="C66" s="228"/>
      <c r="D66" s="228"/>
      <c r="E66" s="228"/>
      <c r="F66" s="228"/>
      <c r="G66" s="228"/>
      <c r="H66" s="228"/>
      <c r="I66" s="228"/>
      <c r="J66" s="228"/>
      <c r="K66" s="228"/>
      <c r="L66" s="228"/>
      <c r="M66" s="228"/>
      <c r="N66" s="228"/>
      <c r="O66" s="228"/>
      <c r="P66" s="228"/>
      <c r="Q66" s="228"/>
      <c r="R66" s="228"/>
      <c r="S66" s="228"/>
      <c r="T66" s="228"/>
      <c r="U66" s="228"/>
    </row>
    <row r="67" spans="1:22" ht="12" x14ac:dyDescent="0.2">
      <c r="A67" s="35"/>
      <c r="B67" s="35"/>
      <c r="C67" s="35"/>
      <c r="D67" s="35"/>
      <c r="E67" s="35"/>
      <c r="F67" s="35"/>
      <c r="G67" s="35"/>
      <c r="H67" s="35"/>
      <c r="I67" s="35"/>
      <c r="J67" s="35"/>
      <c r="K67" s="35"/>
      <c r="L67" s="35"/>
      <c r="M67" s="35"/>
      <c r="N67" s="35"/>
      <c r="O67" s="35"/>
      <c r="P67" s="35"/>
      <c r="Q67" s="35"/>
      <c r="R67" s="35"/>
      <c r="S67" s="35"/>
      <c r="T67" s="35"/>
      <c r="U67" s="35"/>
    </row>
    <row r="68" spans="1:22" ht="12" x14ac:dyDescent="0.2">
      <c r="A68" s="72" t="s">
        <v>253</v>
      </c>
      <c r="B68" s="158">
        <f>MAX(0,SUM(B43:T47)-(35*SUM(B40:T40)))</f>
        <v>0</v>
      </c>
      <c r="C68" s="36" t="s">
        <v>11</v>
      </c>
      <c r="D68" s="35"/>
      <c r="E68" s="35"/>
      <c r="F68" s="35" t="str">
        <f>IF(B68&lt;=0,"De woning moet actief gekoeld worden, aan de minimaal benodigde koelcapaciteit van de opwekker wordt geen eis gesteld.", "De minimaal berekende koelcapaciteit van de opwekker moet gerealiseerd worden om het risico op oververhitting voldoende te beperken")</f>
        <v>De woning moet actief gekoeld worden, aan de minimaal benodigde koelcapaciteit van de opwekker wordt geen eis gesteld.</v>
      </c>
      <c r="G68" s="35"/>
      <c r="H68" s="35"/>
      <c r="I68" s="35"/>
      <c r="J68" s="35"/>
      <c r="K68" s="35"/>
      <c r="L68" s="35"/>
      <c r="M68" s="35"/>
      <c r="N68" s="35"/>
      <c r="O68" s="35"/>
      <c r="P68" s="35"/>
      <c r="Q68" s="35"/>
      <c r="R68" s="35"/>
      <c r="S68" s="35"/>
      <c r="T68" s="35"/>
      <c r="U68" s="35"/>
    </row>
    <row r="69" spans="1:22" ht="12" x14ac:dyDescent="0.2">
      <c r="A69" s="35"/>
      <c r="B69" s="35"/>
      <c r="C69" s="35"/>
      <c r="D69" s="35"/>
      <c r="E69" s="35"/>
      <c r="F69" s="35"/>
      <c r="G69" s="35"/>
      <c r="H69" s="35"/>
      <c r="I69" s="35"/>
      <c r="J69" s="35"/>
      <c r="K69" s="35"/>
      <c r="L69" s="35"/>
      <c r="M69" s="35"/>
      <c r="N69" s="35"/>
      <c r="O69" s="35"/>
      <c r="P69" s="35"/>
      <c r="Q69" s="35"/>
      <c r="R69" s="35"/>
      <c r="S69" s="35"/>
      <c r="T69" s="35"/>
      <c r="U69" s="35"/>
    </row>
    <row r="70" spans="1:22" hidden="1" x14ac:dyDescent="0.2"/>
    <row r="71" spans="1:22" hidden="1" x14ac:dyDescent="0.2"/>
    <row r="72" spans="1:22" hidden="1" x14ac:dyDescent="0.2"/>
    <row r="73" spans="1:22" hidden="1" x14ac:dyDescent="0.2">
      <c r="A73" s="227" t="s">
        <v>258</v>
      </c>
      <c r="B73" s="227"/>
      <c r="C73" s="227"/>
      <c r="D73" s="227"/>
      <c r="E73" s="227"/>
      <c r="F73" s="227"/>
      <c r="G73" s="227"/>
      <c r="H73" s="227"/>
      <c r="I73" s="227"/>
      <c r="J73" s="227"/>
      <c r="K73" s="227"/>
      <c r="L73" s="227"/>
      <c r="M73" s="227"/>
      <c r="N73" s="227"/>
      <c r="O73" s="227"/>
      <c r="P73" s="227"/>
      <c r="Q73" s="227"/>
      <c r="R73" s="227"/>
      <c r="S73" s="227"/>
      <c r="T73" s="227"/>
      <c r="U73" s="227"/>
    </row>
    <row r="74" spans="1:22" hidden="1" x14ac:dyDescent="0.2">
      <c r="A74" s="227"/>
      <c r="B74" s="227"/>
      <c r="C74" s="227"/>
      <c r="D74" s="227"/>
      <c r="E74" s="227"/>
      <c r="F74" s="227"/>
      <c r="G74" s="227"/>
      <c r="H74" s="227"/>
      <c r="I74" s="227"/>
      <c r="J74" s="227"/>
      <c r="K74" s="227"/>
      <c r="L74" s="227"/>
      <c r="M74" s="227"/>
      <c r="N74" s="227"/>
      <c r="O74" s="227"/>
      <c r="P74" s="227"/>
      <c r="Q74" s="227"/>
      <c r="R74" s="227"/>
      <c r="S74" s="227"/>
      <c r="T74" s="227"/>
      <c r="U74" s="227"/>
    </row>
    <row r="75" spans="1:22" ht="12" hidden="1" x14ac:dyDescent="0.2">
      <c r="B75" s="105" t="s">
        <v>192</v>
      </c>
      <c r="C75" s="36"/>
      <c r="D75" s="105" t="s">
        <v>197</v>
      </c>
      <c r="E75" s="36"/>
      <c r="F75" s="105" t="s">
        <v>198</v>
      </c>
      <c r="G75" s="36"/>
      <c r="H75" s="105" t="s">
        <v>199</v>
      </c>
      <c r="I75" s="36"/>
      <c r="J75" s="105" t="s">
        <v>200</v>
      </c>
      <c r="K75" s="36"/>
      <c r="L75" s="105" t="s">
        <v>201</v>
      </c>
      <c r="M75" s="36"/>
      <c r="N75" s="105" t="s">
        <v>202</v>
      </c>
      <c r="O75" s="35"/>
      <c r="P75" s="105" t="s">
        <v>208</v>
      </c>
      <c r="Q75" s="36"/>
      <c r="R75" s="105" t="s">
        <v>209</v>
      </c>
      <c r="S75" s="36"/>
      <c r="T75" s="105" t="s">
        <v>210</v>
      </c>
    </row>
    <row r="76" spans="1:22" hidden="1" x14ac:dyDescent="0.2"/>
    <row r="77" spans="1:22" ht="15" hidden="1" x14ac:dyDescent="0.25">
      <c r="A77" s="154">
        <v>0.375</v>
      </c>
      <c r="B77" s="153">
        <f>'Ruimte 1'!$T77</f>
        <v>0</v>
      </c>
      <c r="C77" s="152" t="s">
        <v>11</v>
      </c>
      <c r="D77" s="153">
        <f>'Ruimte 2'!$T77</f>
        <v>0</v>
      </c>
      <c r="E77" s="152" t="s">
        <v>11</v>
      </c>
      <c r="F77" s="153">
        <f>'Ruimte 3'!$T77</f>
        <v>0</v>
      </c>
      <c r="G77" s="152" t="s">
        <v>11</v>
      </c>
      <c r="H77" s="153">
        <f>'Ruimte 4'!$T77</f>
        <v>0</v>
      </c>
      <c r="I77" s="152" t="s">
        <v>11</v>
      </c>
      <c r="J77" s="153">
        <f>'Ruimte 5'!$T77</f>
        <v>0</v>
      </c>
      <c r="K77" s="152" t="s">
        <v>11</v>
      </c>
      <c r="L77" s="153">
        <f>'Ruimte 6'!$T77</f>
        <v>0</v>
      </c>
      <c r="M77" s="152" t="s">
        <v>11</v>
      </c>
      <c r="N77" s="153">
        <f>'Ruimte 7'!$T77</f>
        <v>0</v>
      </c>
      <c r="O77" s="152" t="s">
        <v>11</v>
      </c>
      <c r="P77" s="153">
        <f>'Ruimte 8'!$T77</f>
        <v>0</v>
      </c>
      <c r="Q77" s="152" t="s">
        <v>11</v>
      </c>
      <c r="R77" s="153">
        <f>'Ruimte 9'!$T77</f>
        <v>0</v>
      </c>
      <c r="S77" s="152" t="s">
        <v>11</v>
      </c>
      <c r="T77" s="153">
        <f>'Ruimte 10'!$T77</f>
        <v>0</v>
      </c>
      <c r="U77" s="152" t="s">
        <v>11</v>
      </c>
      <c r="V77" s="153">
        <f t="shared" ref="V77:V86" si="1">SUM(B77:T77)</f>
        <v>0</v>
      </c>
    </row>
    <row r="78" spans="1:22" ht="15" hidden="1" x14ac:dyDescent="0.25">
      <c r="A78" s="154">
        <v>0.41666666666666669</v>
      </c>
      <c r="B78" s="153">
        <f>'Ruimte 1'!$T78</f>
        <v>0</v>
      </c>
      <c r="C78" s="152" t="s">
        <v>11</v>
      </c>
      <c r="D78" s="153">
        <f>'Ruimte 2'!$T78</f>
        <v>0</v>
      </c>
      <c r="E78" s="152" t="s">
        <v>11</v>
      </c>
      <c r="F78" s="153">
        <f>'Ruimte 3'!$T78</f>
        <v>0</v>
      </c>
      <c r="G78" s="152" t="s">
        <v>11</v>
      </c>
      <c r="H78" s="153">
        <f>'Ruimte 4'!$T78</f>
        <v>0</v>
      </c>
      <c r="I78" s="152" t="s">
        <v>11</v>
      </c>
      <c r="J78" s="153">
        <f>'Ruimte 5'!$T78</f>
        <v>0</v>
      </c>
      <c r="K78" s="152" t="s">
        <v>11</v>
      </c>
      <c r="L78" s="153">
        <f>'Ruimte 6'!$T78</f>
        <v>0</v>
      </c>
      <c r="M78" s="152" t="s">
        <v>11</v>
      </c>
      <c r="N78" s="153">
        <f>'Ruimte 7'!$T78</f>
        <v>0</v>
      </c>
      <c r="O78" s="152" t="s">
        <v>11</v>
      </c>
      <c r="P78" s="153">
        <f>'Ruimte 8'!$T78</f>
        <v>0</v>
      </c>
      <c r="Q78" s="152" t="s">
        <v>11</v>
      </c>
      <c r="R78" s="153">
        <f>'Ruimte 9'!$T78</f>
        <v>0</v>
      </c>
      <c r="S78" s="152" t="s">
        <v>11</v>
      </c>
      <c r="T78" s="153">
        <f>'Ruimte 10'!$T78</f>
        <v>0</v>
      </c>
      <c r="U78" s="152" t="s">
        <v>11</v>
      </c>
      <c r="V78" s="153">
        <f t="shared" si="1"/>
        <v>0</v>
      </c>
    </row>
    <row r="79" spans="1:22" ht="15" hidden="1" x14ac:dyDescent="0.25">
      <c r="A79" s="154">
        <v>0.45833333333333331</v>
      </c>
      <c r="B79" s="153">
        <f>'Ruimte 1'!$T79</f>
        <v>0</v>
      </c>
      <c r="C79" s="152" t="s">
        <v>11</v>
      </c>
      <c r="D79" s="153">
        <f>'Ruimte 2'!$T79</f>
        <v>0</v>
      </c>
      <c r="E79" s="152" t="s">
        <v>11</v>
      </c>
      <c r="F79" s="153">
        <f>'Ruimte 3'!$T79</f>
        <v>0</v>
      </c>
      <c r="G79" s="152" t="s">
        <v>11</v>
      </c>
      <c r="H79" s="153">
        <f>'Ruimte 4'!$T79</f>
        <v>0</v>
      </c>
      <c r="I79" s="152" t="s">
        <v>11</v>
      </c>
      <c r="J79" s="153">
        <f>'Ruimte 5'!$T79</f>
        <v>0</v>
      </c>
      <c r="K79" s="152" t="s">
        <v>11</v>
      </c>
      <c r="L79" s="153">
        <f>'Ruimte 6'!$T79</f>
        <v>0</v>
      </c>
      <c r="M79" s="152" t="s">
        <v>11</v>
      </c>
      <c r="N79" s="153">
        <f>'Ruimte 7'!$T79</f>
        <v>0</v>
      </c>
      <c r="O79" s="152" t="s">
        <v>11</v>
      </c>
      <c r="P79" s="153">
        <f>'Ruimte 8'!$T79</f>
        <v>0</v>
      </c>
      <c r="Q79" s="152" t="s">
        <v>11</v>
      </c>
      <c r="R79" s="153">
        <f>'Ruimte 9'!$T79</f>
        <v>0</v>
      </c>
      <c r="S79" s="152" t="s">
        <v>11</v>
      </c>
      <c r="T79" s="153">
        <f>'Ruimte 10'!$T79</f>
        <v>0</v>
      </c>
      <c r="U79" s="152" t="s">
        <v>11</v>
      </c>
      <c r="V79" s="153">
        <f t="shared" si="1"/>
        <v>0</v>
      </c>
    </row>
    <row r="80" spans="1:22" ht="15" hidden="1" x14ac:dyDescent="0.25">
      <c r="A80" s="154">
        <v>0.5</v>
      </c>
      <c r="B80" s="153">
        <f>'Ruimte 1'!$T80</f>
        <v>0</v>
      </c>
      <c r="C80" s="152" t="s">
        <v>11</v>
      </c>
      <c r="D80" s="153">
        <f>'Ruimte 2'!$T80</f>
        <v>0</v>
      </c>
      <c r="E80" s="152" t="s">
        <v>11</v>
      </c>
      <c r="F80" s="153">
        <f>'Ruimte 3'!$T80</f>
        <v>0</v>
      </c>
      <c r="G80" s="152" t="s">
        <v>11</v>
      </c>
      <c r="H80" s="153">
        <f>'Ruimte 4'!$T80</f>
        <v>0</v>
      </c>
      <c r="I80" s="152" t="s">
        <v>11</v>
      </c>
      <c r="J80" s="153">
        <f>'Ruimte 5'!$T80</f>
        <v>0</v>
      </c>
      <c r="K80" s="152" t="s">
        <v>11</v>
      </c>
      <c r="L80" s="153">
        <f>'Ruimte 6'!$T80</f>
        <v>0</v>
      </c>
      <c r="M80" s="152" t="s">
        <v>11</v>
      </c>
      <c r="N80" s="153">
        <f>'Ruimte 7'!$T80</f>
        <v>0</v>
      </c>
      <c r="O80" s="152" t="s">
        <v>11</v>
      </c>
      <c r="P80" s="153">
        <f>'Ruimte 8'!$T80</f>
        <v>0</v>
      </c>
      <c r="Q80" s="152" t="s">
        <v>11</v>
      </c>
      <c r="R80" s="153">
        <f>'Ruimte 9'!$T80</f>
        <v>0</v>
      </c>
      <c r="S80" s="152" t="s">
        <v>11</v>
      </c>
      <c r="T80" s="153">
        <f>'Ruimte 10'!$T80</f>
        <v>0</v>
      </c>
      <c r="U80" s="152" t="s">
        <v>11</v>
      </c>
      <c r="V80" s="153">
        <f t="shared" si="1"/>
        <v>0</v>
      </c>
    </row>
    <row r="81" spans="1:22" ht="15" hidden="1" x14ac:dyDescent="0.25">
      <c r="A81" s="154">
        <v>0.54166666666666696</v>
      </c>
      <c r="B81" s="153">
        <f>'Ruimte 1'!$T81</f>
        <v>0</v>
      </c>
      <c r="C81" s="152" t="s">
        <v>11</v>
      </c>
      <c r="D81" s="153">
        <f>'Ruimte 2'!$T81</f>
        <v>0</v>
      </c>
      <c r="E81" s="152" t="s">
        <v>11</v>
      </c>
      <c r="F81" s="153">
        <f>'Ruimte 3'!$T81</f>
        <v>0</v>
      </c>
      <c r="G81" s="152" t="s">
        <v>11</v>
      </c>
      <c r="H81" s="153">
        <f>'Ruimte 4'!$T81</f>
        <v>0</v>
      </c>
      <c r="I81" s="152" t="s">
        <v>11</v>
      </c>
      <c r="J81" s="153">
        <f>'Ruimte 5'!$T81</f>
        <v>0</v>
      </c>
      <c r="K81" s="152" t="s">
        <v>11</v>
      </c>
      <c r="L81" s="153">
        <f>'Ruimte 6'!$T81</f>
        <v>0</v>
      </c>
      <c r="M81" s="152" t="s">
        <v>11</v>
      </c>
      <c r="N81" s="153">
        <f>'Ruimte 7'!$T81</f>
        <v>0</v>
      </c>
      <c r="O81" s="152" t="s">
        <v>11</v>
      </c>
      <c r="P81" s="153">
        <f>'Ruimte 8'!$T81</f>
        <v>0</v>
      </c>
      <c r="Q81" s="152" t="s">
        <v>11</v>
      </c>
      <c r="R81" s="153">
        <f>'Ruimte 9'!$T81</f>
        <v>0</v>
      </c>
      <c r="S81" s="152" t="s">
        <v>11</v>
      </c>
      <c r="T81" s="153">
        <f>'Ruimte 10'!$T81</f>
        <v>0</v>
      </c>
      <c r="U81" s="152" t="s">
        <v>11</v>
      </c>
      <c r="V81" s="153">
        <f t="shared" si="1"/>
        <v>0</v>
      </c>
    </row>
    <row r="82" spans="1:22" ht="15" hidden="1" x14ac:dyDescent="0.25">
      <c r="A82" s="154">
        <v>0.58333333333333404</v>
      </c>
      <c r="B82" s="153">
        <f>'Ruimte 1'!$T82</f>
        <v>0</v>
      </c>
      <c r="C82" s="152" t="s">
        <v>11</v>
      </c>
      <c r="D82" s="153">
        <f>'Ruimte 2'!$T82</f>
        <v>0</v>
      </c>
      <c r="E82" s="152" t="s">
        <v>11</v>
      </c>
      <c r="F82" s="153">
        <f>'Ruimte 3'!$T82</f>
        <v>0</v>
      </c>
      <c r="G82" s="152" t="s">
        <v>11</v>
      </c>
      <c r="H82" s="153">
        <f>'Ruimte 4'!$T82</f>
        <v>0</v>
      </c>
      <c r="I82" s="152" t="s">
        <v>11</v>
      </c>
      <c r="J82" s="153">
        <f>'Ruimte 5'!$T82</f>
        <v>0</v>
      </c>
      <c r="K82" s="152" t="s">
        <v>11</v>
      </c>
      <c r="L82" s="153">
        <f>'Ruimte 6'!$T82</f>
        <v>0</v>
      </c>
      <c r="M82" s="152" t="s">
        <v>11</v>
      </c>
      <c r="N82" s="153">
        <f>'Ruimte 7'!$T82</f>
        <v>0</v>
      </c>
      <c r="O82" s="152" t="s">
        <v>11</v>
      </c>
      <c r="P82" s="153">
        <f>'Ruimte 8'!$T82</f>
        <v>0</v>
      </c>
      <c r="Q82" s="152" t="s">
        <v>11</v>
      </c>
      <c r="R82" s="153">
        <f>'Ruimte 9'!$T82</f>
        <v>0</v>
      </c>
      <c r="S82" s="152" t="s">
        <v>11</v>
      </c>
      <c r="T82" s="153">
        <f>'Ruimte 10'!$T82</f>
        <v>0</v>
      </c>
      <c r="U82" s="152" t="s">
        <v>11</v>
      </c>
      <c r="V82" s="153">
        <f t="shared" si="1"/>
        <v>0</v>
      </c>
    </row>
    <row r="83" spans="1:22" ht="15" hidden="1" x14ac:dyDescent="0.25">
      <c r="A83" s="154">
        <v>0.625000000000001</v>
      </c>
      <c r="B83" s="153">
        <f>'Ruimte 1'!$T83</f>
        <v>0</v>
      </c>
      <c r="C83" s="152" t="s">
        <v>11</v>
      </c>
      <c r="D83" s="153">
        <f>'Ruimte 2'!$T83</f>
        <v>0</v>
      </c>
      <c r="E83" s="152" t="s">
        <v>11</v>
      </c>
      <c r="F83" s="153">
        <f>'Ruimte 3'!$T83</f>
        <v>0</v>
      </c>
      <c r="G83" s="152" t="s">
        <v>11</v>
      </c>
      <c r="H83" s="153">
        <f>'Ruimte 4'!$T83</f>
        <v>0</v>
      </c>
      <c r="I83" s="152" t="s">
        <v>11</v>
      </c>
      <c r="J83" s="153">
        <f>'Ruimte 5'!$T83</f>
        <v>0</v>
      </c>
      <c r="K83" s="152" t="s">
        <v>11</v>
      </c>
      <c r="L83" s="153">
        <f>'Ruimte 6'!$T83</f>
        <v>0</v>
      </c>
      <c r="M83" s="152" t="s">
        <v>11</v>
      </c>
      <c r="N83" s="153">
        <f>'Ruimte 7'!$T83</f>
        <v>0</v>
      </c>
      <c r="O83" s="152" t="s">
        <v>11</v>
      </c>
      <c r="P83" s="153">
        <f>'Ruimte 8'!$T83</f>
        <v>0</v>
      </c>
      <c r="Q83" s="152" t="s">
        <v>11</v>
      </c>
      <c r="R83" s="153">
        <f>'Ruimte 9'!$T83</f>
        <v>0</v>
      </c>
      <c r="S83" s="152" t="s">
        <v>11</v>
      </c>
      <c r="T83" s="153">
        <f>'Ruimte 10'!$T83</f>
        <v>0</v>
      </c>
      <c r="U83" s="152" t="s">
        <v>11</v>
      </c>
      <c r="V83" s="153">
        <f t="shared" si="1"/>
        <v>0</v>
      </c>
    </row>
    <row r="84" spans="1:22" ht="15" hidden="1" x14ac:dyDescent="0.25">
      <c r="A84" s="154">
        <v>0.66666666666666796</v>
      </c>
      <c r="B84" s="153">
        <f>'Ruimte 1'!$T84</f>
        <v>0</v>
      </c>
      <c r="C84" s="152" t="s">
        <v>11</v>
      </c>
      <c r="D84" s="153">
        <f>'Ruimte 2'!$T84</f>
        <v>0</v>
      </c>
      <c r="E84" s="152" t="s">
        <v>11</v>
      </c>
      <c r="F84" s="153">
        <f>'Ruimte 3'!$T84</f>
        <v>0</v>
      </c>
      <c r="G84" s="152" t="s">
        <v>11</v>
      </c>
      <c r="H84" s="153">
        <f>'Ruimte 4'!$T84</f>
        <v>0</v>
      </c>
      <c r="I84" s="152" t="s">
        <v>11</v>
      </c>
      <c r="J84" s="153">
        <f>'Ruimte 5'!$T84</f>
        <v>0</v>
      </c>
      <c r="K84" s="152" t="s">
        <v>11</v>
      </c>
      <c r="L84" s="153">
        <f>'Ruimte 6'!$T84</f>
        <v>0</v>
      </c>
      <c r="M84" s="152" t="s">
        <v>11</v>
      </c>
      <c r="N84" s="153">
        <f>'Ruimte 7'!$T84</f>
        <v>0</v>
      </c>
      <c r="O84" s="152" t="s">
        <v>11</v>
      </c>
      <c r="P84" s="153">
        <f>'Ruimte 8'!$T84</f>
        <v>0</v>
      </c>
      <c r="Q84" s="152" t="s">
        <v>11</v>
      </c>
      <c r="R84" s="153">
        <f>'Ruimte 9'!$T84</f>
        <v>0</v>
      </c>
      <c r="S84" s="152" t="s">
        <v>11</v>
      </c>
      <c r="T84" s="153">
        <f>'Ruimte 10'!$T84</f>
        <v>0</v>
      </c>
      <c r="U84" s="152" t="s">
        <v>11</v>
      </c>
      <c r="V84" s="153">
        <f t="shared" si="1"/>
        <v>0</v>
      </c>
    </row>
    <row r="85" spans="1:22" ht="15" hidden="1" x14ac:dyDescent="0.25">
      <c r="A85" s="154">
        <v>0.70833333333333504</v>
      </c>
      <c r="B85" s="153">
        <f>'Ruimte 1'!$T85</f>
        <v>0</v>
      </c>
      <c r="C85" s="152" t="s">
        <v>11</v>
      </c>
      <c r="D85" s="153">
        <f>'Ruimte 2'!$T85</f>
        <v>0</v>
      </c>
      <c r="E85" s="152" t="s">
        <v>11</v>
      </c>
      <c r="F85" s="153">
        <f>'Ruimte 3'!$T85</f>
        <v>0</v>
      </c>
      <c r="G85" s="152" t="s">
        <v>11</v>
      </c>
      <c r="H85" s="153">
        <f>'Ruimte 4'!$T85</f>
        <v>0</v>
      </c>
      <c r="I85" s="152" t="s">
        <v>11</v>
      </c>
      <c r="J85" s="153">
        <f>'Ruimte 5'!$T85</f>
        <v>0</v>
      </c>
      <c r="K85" s="152" t="s">
        <v>11</v>
      </c>
      <c r="L85" s="153">
        <f>'Ruimte 6'!$T85</f>
        <v>0</v>
      </c>
      <c r="M85" s="152" t="s">
        <v>11</v>
      </c>
      <c r="N85" s="153">
        <f>'Ruimte 7'!$T85</f>
        <v>0</v>
      </c>
      <c r="O85" s="152" t="s">
        <v>11</v>
      </c>
      <c r="P85" s="153">
        <f>'Ruimte 8'!$T85</f>
        <v>0</v>
      </c>
      <c r="Q85" s="152" t="s">
        <v>11</v>
      </c>
      <c r="R85" s="153">
        <f>'Ruimte 9'!$T85</f>
        <v>0</v>
      </c>
      <c r="S85" s="152" t="s">
        <v>11</v>
      </c>
      <c r="T85" s="153">
        <f>'Ruimte 10'!$T85</f>
        <v>0</v>
      </c>
      <c r="U85" s="152" t="s">
        <v>11</v>
      </c>
      <c r="V85" s="153">
        <f t="shared" si="1"/>
        <v>0</v>
      </c>
    </row>
    <row r="86" spans="1:22" ht="15" hidden="1" x14ac:dyDescent="0.25">
      <c r="A86" s="154">
        <v>0.750000000000002</v>
      </c>
      <c r="B86" s="153">
        <f>'Ruimte 1'!$T86</f>
        <v>0</v>
      </c>
      <c r="C86" s="152" t="s">
        <v>11</v>
      </c>
      <c r="D86" s="153">
        <f>'Ruimte 2'!$T86</f>
        <v>0</v>
      </c>
      <c r="E86" s="152" t="s">
        <v>11</v>
      </c>
      <c r="F86" s="153">
        <f>'Ruimte 3'!$T86</f>
        <v>0</v>
      </c>
      <c r="G86" s="152" t="s">
        <v>11</v>
      </c>
      <c r="H86" s="153">
        <f>'Ruimte 4'!$T86</f>
        <v>0</v>
      </c>
      <c r="I86" s="152" t="s">
        <v>11</v>
      </c>
      <c r="J86" s="153">
        <f>'Ruimte 5'!$T86</f>
        <v>0</v>
      </c>
      <c r="K86" s="152" t="s">
        <v>11</v>
      </c>
      <c r="L86" s="153">
        <f>'Ruimte 6'!$T86</f>
        <v>0</v>
      </c>
      <c r="M86" s="152" t="s">
        <v>11</v>
      </c>
      <c r="N86" s="153">
        <f>'Ruimte 7'!$T86</f>
        <v>0</v>
      </c>
      <c r="O86" s="152" t="s">
        <v>11</v>
      </c>
      <c r="P86" s="153">
        <f>'Ruimte 8'!$T86</f>
        <v>0</v>
      </c>
      <c r="Q86" s="152" t="s">
        <v>11</v>
      </c>
      <c r="R86" s="153">
        <f>'Ruimte 9'!$T86</f>
        <v>0</v>
      </c>
      <c r="S86" s="152" t="s">
        <v>11</v>
      </c>
      <c r="T86" s="153">
        <f>'Ruimte 10'!$T86</f>
        <v>0</v>
      </c>
      <c r="U86" s="152" t="s">
        <v>11</v>
      </c>
      <c r="V86" s="153">
        <f t="shared" si="1"/>
        <v>0</v>
      </c>
    </row>
    <row r="87" spans="1:22" ht="15" hidden="1" x14ac:dyDescent="0.25">
      <c r="A87" s="154"/>
      <c r="B87" s="153"/>
      <c r="C87" s="152"/>
      <c r="D87" s="153"/>
      <c r="E87" s="152"/>
      <c r="F87" s="153"/>
      <c r="G87" s="152"/>
      <c r="H87" s="153"/>
      <c r="I87" s="152"/>
      <c r="J87" s="153"/>
      <c r="K87" s="152"/>
      <c r="L87" s="153"/>
      <c r="M87" s="152"/>
      <c r="N87" s="153"/>
      <c r="O87" s="152"/>
      <c r="P87" s="153"/>
      <c r="Q87" s="152"/>
      <c r="R87" s="153"/>
      <c r="S87" s="152"/>
      <c r="T87" s="153"/>
      <c r="U87" s="152"/>
      <c r="V87" s="153"/>
    </row>
    <row r="88" spans="1:22" hidden="1" x14ac:dyDescent="0.2"/>
    <row r="89" spans="1:22" ht="15" hidden="1" x14ac:dyDescent="0.25">
      <c r="A89" s="152" t="s">
        <v>151</v>
      </c>
      <c r="B89" s="155" t="str">
        <f>IF(MAX(V77:V86)=0,"Geen glas aanwezig",_xlfn.XLOOKUP(MAX(V77:V86),V77:V86,A77:A86,"nvt"))</f>
        <v>Geen glas aanwezig</v>
      </c>
    </row>
    <row r="90" spans="1:22" ht="15" hidden="1" x14ac:dyDescent="0.2">
      <c r="A90" s="72" t="s">
        <v>253</v>
      </c>
      <c r="B90" s="156">
        <f>MAX(V77:V86)</f>
        <v>0</v>
      </c>
      <c r="C90" s="55" t="s">
        <v>11</v>
      </c>
      <c r="F90" s="55" t="s">
        <v>256</v>
      </c>
      <c r="H90" s="55" t="s">
        <v>257</v>
      </c>
    </row>
    <row r="91" spans="1:22" ht="15" hidden="1" x14ac:dyDescent="0.2">
      <c r="A91" s="55" t="s">
        <v>255</v>
      </c>
      <c r="B91" s="157">
        <f>SUM(B43:T47)</f>
        <v>0</v>
      </c>
      <c r="C91" s="157"/>
      <c r="D91" s="157" t="s">
        <v>254</v>
      </c>
      <c r="E91" s="157"/>
      <c r="F91" s="157">
        <f>35*SUM(B40:T40)</f>
        <v>0</v>
      </c>
      <c r="G91" s="157"/>
      <c r="H91" s="157">
        <f>B91-F91</f>
        <v>0</v>
      </c>
    </row>
    <row r="92" spans="1:22" hidden="1" x14ac:dyDescent="0.2"/>
    <row r="93" spans="1:22" hidden="1" x14ac:dyDescent="0.2"/>
    <row r="94" spans="1:22" hidden="1" x14ac:dyDescent="0.2"/>
    <row r="95" spans="1:22" hidden="1" x14ac:dyDescent="0.2"/>
  </sheetData>
  <sheetProtection algorithmName="SHA-512" hashValue="8szCGLcs7oTOvWBKXYKu9afG1wA9Saff2D7KO+FWclKRpYgt2gHc1fTdb5ePgvC5nXfk8wFIyQUvXVL7CHDmtQ==" saltValue="JUpDWZ0sWhHkQGvbgfKz/A==" spinCount="100000" sheet="1" objects="1" scenarios="1" selectLockedCells="1"/>
  <mergeCells count="27">
    <mergeCell ref="A11:U11"/>
    <mergeCell ref="A3:U3"/>
    <mergeCell ref="A1:U1"/>
    <mergeCell ref="A2:U2"/>
    <mergeCell ref="B5:F5"/>
    <mergeCell ref="B7:F7"/>
    <mergeCell ref="B6:C6"/>
    <mergeCell ref="B8:C8"/>
    <mergeCell ref="B9:F9"/>
    <mergeCell ref="E20:P20"/>
    <mergeCell ref="E28:P28"/>
    <mergeCell ref="E29:P33"/>
    <mergeCell ref="F58:N58"/>
    <mergeCell ref="F62:N62"/>
    <mergeCell ref="F56:N56"/>
    <mergeCell ref="F55:N55"/>
    <mergeCell ref="A53:U53"/>
    <mergeCell ref="A35:U35"/>
    <mergeCell ref="E21:P26"/>
    <mergeCell ref="F63:N63"/>
    <mergeCell ref="F64:N64"/>
    <mergeCell ref="F57:N57"/>
    <mergeCell ref="A73:U74"/>
    <mergeCell ref="F60:N60"/>
    <mergeCell ref="F61:N61"/>
    <mergeCell ref="F59:N59"/>
    <mergeCell ref="A66:U66"/>
  </mergeCells>
  <phoneticPr fontId="23" type="noConversion"/>
  <conditionalFormatting sqref="B10:C10 G41 I41 K41 M41 O41 D26:D34 F34:O34 E12:O15 E20 E27:O27 C16:O18 O37:O38 Q41 S41 U41 J36:U36 U37:U38 P4:U10 P12:U18 Q20:U25 J65:O67 A65:C67 P54:U67 A69:C69 J69:U69 D19:O19 U68">
    <cfRule type="cellIs" dxfId="129" priority="826" stopIfTrue="1" operator="equal">
      <formula>"&lt;DATUM&gt;"</formula>
    </cfRule>
  </conditionalFormatting>
  <conditionalFormatting sqref="G41 I41 K41 M41 O41 D26:D34 F34:O34 E12:O15 E20 E27:O27 C16:O18 O37:O38 Q41 S41 U41 J36:U36 U37:U38 P4:U10 P12:U18 Q20:U25 J65:O67 A65:C67 P54:U67 A69:C69 J69:U69 D19:O19 U68">
    <cfRule type="cellIs" dxfId="128" priority="824" stopIfTrue="1" operator="equal">
      <formula>"&lt;OPDRACHTGEVER&gt;"</formula>
    </cfRule>
  </conditionalFormatting>
  <conditionalFormatting sqref="D20:D25">
    <cfRule type="cellIs" dxfId="127" priority="610" stopIfTrue="1" operator="equal">
      <formula>"&lt;DATUM&gt;"</formula>
    </cfRule>
  </conditionalFormatting>
  <conditionalFormatting sqref="D20:D25">
    <cfRule type="cellIs" dxfId="126" priority="609" stopIfTrue="1" operator="equal">
      <formula>"&lt;OPDRACHTGEVER&gt;"</formula>
    </cfRule>
  </conditionalFormatting>
  <conditionalFormatting sqref="E12:I12">
    <cfRule type="cellIs" dxfId="125" priority="583" stopIfTrue="1" operator="equal">
      <formula>"&lt;DATUM&gt;"</formula>
    </cfRule>
  </conditionalFormatting>
  <conditionalFormatting sqref="E12:I12">
    <cfRule type="cellIs" dxfId="124" priority="582" stopIfTrue="1" operator="equal">
      <formula>"&lt;OPDRACHTGEVER&gt;"</formula>
    </cfRule>
  </conditionalFormatting>
  <conditionalFormatting sqref="D13:D15">
    <cfRule type="cellIs" dxfId="123" priority="578" stopIfTrue="1" operator="equal">
      <formula>"&lt;DATUM&gt;"</formula>
    </cfRule>
  </conditionalFormatting>
  <conditionalFormatting sqref="D13:D15">
    <cfRule type="cellIs" dxfId="122" priority="577" stopIfTrue="1" operator="equal">
      <formula>"&lt;OPDRACHTGEVER&gt;"</formula>
    </cfRule>
  </conditionalFormatting>
  <conditionalFormatting sqref="D36:J36">
    <cfRule type="cellIs" dxfId="121" priority="395" stopIfTrue="1" operator="equal">
      <formula>"&lt;DATUM&gt;"</formula>
    </cfRule>
  </conditionalFormatting>
  <conditionalFormatting sqref="D36:J36">
    <cfRule type="cellIs" dxfId="120" priority="394" stopIfTrue="1" operator="equal">
      <formula>"&lt;OPDRACHTGEVER&gt;"</formula>
    </cfRule>
  </conditionalFormatting>
  <conditionalFormatting sqref="E36:I36">
    <cfRule type="cellIs" dxfId="119" priority="390" stopIfTrue="1" operator="equal">
      <formula>"&lt;DATUM&gt;"</formula>
    </cfRule>
  </conditionalFormatting>
  <conditionalFormatting sqref="E36:I36">
    <cfRule type="cellIs" dxfId="118" priority="389" stopIfTrue="1" operator="equal">
      <formula>"&lt;OPDRACHTGEVER&gt;"</formula>
    </cfRule>
  </conditionalFormatting>
  <conditionalFormatting sqref="J4:K10">
    <cfRule type="cellIs" dxfId="117" priority="379" stopIfTrue="1" operator="equal">
      <formula>"&lt;DATUM&gt;"</formula>
    </cfRule>
  </conditionalFormatting>
  <conditionalFormatting sqref="J4:K10">
    <cfRule type="cellIs" dxfId="116" priority="378" stopIfTrue="1" operator="equal">
      <formula>"&lt;OPDRACHTGEVER&gt;"</formula>
    </cfRule>
  </conditionalFormatting>
  <conditionalFormatting sqref="A2">
    <cfRule type="cellIs" dxfId="115" priority="377" stopIfTrue="1" operator="equal">
      <formula>"&lt;DATUM&gt;"</formula>
    </cfRule>
  </conditionalFormatting>
  <conditionalFormatting sqref="A2">
    <cfRule type="cellIs" dxfId="114" priority="376" stopIfTrue="1" operator="equal">
      <formula>"&lt;OPDRACHTGEVER&gt;"</formula>
    </cfRule>
  </conditionalFormatting>
  <conditionalFormatting sqref="C36">
    <cfRule type="cellIs" dxfId="113" priority="352" stopIfTrue="1" operator="equal">
      <formula>"&lt;DATUM&gt;"</formula>
    </cfRule>
  </conditionalFormatting>
  <conditionalFormatting sqref="C36">
    <cfRule type="cellIs" dxfId="112" priority="351" stopIfTrue="1" operator="equal">
      <formula>"&lt;OPDRACHTGEVER&gt;"</formula>
    </cfRule>
  </conditionalFormatting>
  <conditionalFormatting sqref="B36">
    <cfRule type="cellIs" dxfId="111" priority="350" stopIfTrue="1" operator="equal">
      <formula>"&lt;DATUM&gt;"</formula>
    </cfRule>
  </conditionalFormatting>
  <conditionalFormatting sqref="B36">
    <cfRule type="cellIs" dxfId="110" priority="349" stopIfTrue="1" operator="equal">
      <formula>"&lt;OPDRACHTGEVER&gt;"</formula>
    </cfRule>
  </conditionalFormatting>
  <conditionalFormatting sqref="A36:A38">
    <cfRule type="cellIs" dxfId="109" priority="348" stopIfTrue="1" operator="equal">
      <formula>"&lt;DATUM&gt;"</formula>
    </cfRule>
  </conditionalFormatting>
  <conditionalFormatting sqref="A36:A38">
    <cfRule type="cellIs" dxfId="108" priority="347" stopIfTrue="1" operator="equal">
      <formula>"&lt;OPDRACHTGEVER&gt;"</formula>
    </cfRule>
  </conditionalFormatting>
  <conditionalFormatting sqref="A27:C27">
    <cfRule type="cellIs" dxfId="107" priority="344" stopIfTrue="1" operator="equal">
      <formula>"&lt;DATUM&gt;"</formula>
    </cfRule>
  </conditionalFormatting>
  <conditionalFormatting sqref="A27:C27">
    <cfRule type="cellIs" dxfId="106" priority="343" stopIfTrue="1" operator="equal">
      <formula>"&lt;OPDRACHTGEVER&gt;"</formula>
    </cfRule>
  </conditionalFormatting>
  <conditionalFormatting sqref="A12:D12">
    <cfRule type="cellIs" dxfId="105" priority="340" stopIfTrue="1" operator="equal">
      <formula>"&lt;DATUM&gt;"</formula>
    </cfRule>
  </conditionalFormatting>
  <conditionalFormatting sqref="A12:D12">
    <cfRule type="cellIs" dxfId="104" priority="339" stopIfTrue="1" operator="equal">
      <formula>"&lt;OPDRACHTGEVER&gt;"</formula>
    </cfRule>
  </conditionalFormatting>
  <conditionalFormatting sqref="B13">
    <cfRule type="cellIs" dxfId="103" priority="338" stopIfTrue="1" operator="equal">
      <formula>"&lt;DATUM&gt;"</formula>
    </cfRule>
  </conditionalFormatting>
  <conditionalFormatting sqref="B13">
    <cfRule type="cellIs" dxfId="102" priority="337" stopIfTrue="1" operator="equal">
      <formula>"&lt;OPDRACHTGEVER&gt;"</formula>
    </cfRule>
  </conditionalFormatting>
  <conditionalFormatting sqref="C13">
    <cfRule type="cellIs" dxfId="101" priority="336" stopIfTrue="1" operator="equal">
      <formula>"&lt;DATUM&gt;"</formula>
    </cfRule>
  </conditionalFormatting>
  <conditionalFormatting sqref="C13">
    <cfRule type="cellIs" dxfId="100" priority="335" stopIfTrue="1" operator="equal">
      <formula>"&lt;OPDRACHTGEVER&gt;"</formula>
    </cfRule>
  </conditionalFormatting>
  <conditionalFormatting sqref="C14:C15">
    <cfRule type="cellIs" dxfId="99" priority="334" stopIfTrue="1" operator="equal">
      <formula>"&lt;DATUM&gt;"</formula>
    </cfRule>
  </conditionalFormatting>
  <conditionalFormatting sqref="C14:C15">
    <cfRule type="cellIs" dxfId="98" priority="333" stopIfTrue="1" operator="equal">
      <formula>"&lt;OPDRACHTGEVER&gt;"</formula>
    </cfRule>
  </conditionalFormatting>
  <conditionalFormatting sqref="E41">
    <cfRule type="cellIs" dxfId="97" priority="318" stopIfTrue="1" operator="equal">
      <formula>"&lt;DATUM&gt;"</formula>
    </cfRule>
  </conditionalFormatting>
  <conditionalFormatting sqref="E41">
    <cfRule type="cellIs" dxfId="96" priority="317" stopIfTrue="1" operator="equal">
      <formula>"&lt;OPDRACHTGEVER&gt;"</formula>
    </cfRule>
  </conditionalFormatting>
  <conditionalFormatting sqref="A41:D41">
    <cfRule type="cellIs" dxfId="95" priority="316" stopIfTrue="1" operator="equal">
      <formula>"&lt;DATUM&gt;"</formula>
    </cfRule>
  </conditionalFormatting>
  <conditionalFormatting sqref="A41:D41">
    <cfRule type="cellIs" dxfId="94" priority="315" stopIfTrue="1" operator="equal">
      <formula>"&lt;OPDRACHTGEVER&gt;"</formula>
    </cfRule>
  </conditionalFormatting>
  <conditionalFormatting sqref="J52:K52">
    <cfRule type="cellIs" dxfId="93" priority="270" stopIfTrue="1" operator="equal">
      <formula>"&lt;DATUM&gt;"</formula>
    </cfRule>
  </conditionalFormatting>
  <conditionalFormatting sqref="J52:K52">
    <cfRule type="cellIs" dxfId="92" priority="269" stopIfTrue="1" operator="equal">
      <formula>"&lt;OPDRACHTGEVER&gt;"</formula>
    </cfRule>
  </conditionalFormatting>
  <conditionalFormatting sqref="D52:I52">
    <cfRule type="cellIs" dxfId="91" priority="268" stopIfTrue="1" operator="equal">
      <formula>"&lt;DATUM&gt;"</formula>
    </cfRule>
  </conditionalFormatting>
  <conditionalFormatting sqref="D52:I52">
    <cfRule type="cellIs" dxfId="90" priority="267" stopIfTrue="1" operator="equal">
      <formula>"&lt;OPDRACHTGEVER&gt;"</formula>
    </cfRule>
  </conditionalFormatting>
  <conditionalFormatting sqref="A52:C52">
    <cfRule type="cellIs" dxfId="89" priority="266" stopIfTrue="1" operator="equal">
      <formula>"&lt;DATUM&gt;"</formula>
    </cfRule>
  </conditionalFormatting>
  <conditionalFormatting sqref="A52:C52">
    <cfRule type="cellIs" dxfId="88" priority="265" stopIfTrue="1" operator="equal">
      <formula>"&lt;OPDRACHTGEVER&gt;"</formula>
    </cfRule>
  </conditionalFormatting>
  <conditionalFormatting sqref="K48 M48 O48">
    <cfRule type="cellIs" dxfId="87" priority="256" stopIfTrue="1" operator="equal">
      <formula>"&lt;DATUM&gt;"</formula>
    </cfRule>
  </conditionalFormatting>
  <conditionalFormatting sqref="K48 M48 O48">
    <cfRule type="cellIs" dxfId="86" priority="255" stopIfTrue="1" operator="equal">
      <formula>"&lt;OPDRACHTGEVER&gt;"</formula>
    </cfRule>
  </conditionalFormatting>
  <conditionalFormatting sqref="E48 G48 I48">
    <cfRule type="cellIs" dxfId="85" priority="254" stopIfTrue="1" operator="equal">
      <formula>"&lt;DATUM&gt;"</formula>
    </cfRule>
  </conditionalFormatting>
  <conditionalFormatting sqref="E48 G48 I48">
    <cfRule type="cellIs" dxfId="84" priority="253" stopIfTrue="1" operator="equal">
      <formula>"&lt;OPDRACHTGEVER&gt;"</formula>
    </cfRule>
  </conditionalFormatting>
  <conditionalFormatting sqref="A48:D48">
    <cfRule type="cellIs" dxfId="83" priority="252" stopIfTrue="1" operator="equal">
      <formula>"&lt;DATUM&gt;"</formula>
    </cfRule>
  </conditionalFormatting>
  <conditionalFormatting sqref="A48:D48">
    <cfRule type="cellIs" dxfId="82" priority="251" stopIfTrue="1" operator="equal">
      <formula>"&lt;OPDRACHTGEVER&gt;"</formula>
    </cfRule>
  </conditionalFormatting>
  <conditionalFormatting sqref="L52:O52">
    <cfRule type="cellIs" dxfId="81" priority="243" stopIfTrue="1" operator="equal">
      <formula>"&lt;DATUM&gt;"</formula>
    </cfRule>
  </conditionalFormatting>
  <conditionalFormatting sqref="L52:O52">
    <cfRule type="cellIs" dxfId="80" priority="242" stopIfTrue="1" operator="equal">
      <formula>"&lt;OPDRACHTGEVER&gt;"</formula>
    </cfRule>
  </conditionalFormatting>
  <conditionalFormatting sqref="O55:O64">
    <cfRule type="cellIs" dxfId="79" priority="195" stopIfTrue="1" operator="equal">
      <formula>"&lt;DATUM&gt;"</formula>
    </cfRule>
  </conditionalFormatting>
  <conditionalFormatting sqref="O55:O64">
    <cfRule type="cellIs" dxfId="78" priority="194" stopIfTrue="1" operator="equal">
      <formula>"&lt;OPDRACHTGEVER&gt;"</formula>
    </cfRule>
  </conditionalFormatting>
  <conditionalFormatting sqref="J54:K54">
    <cfRule type="cellIs" dxfId="77" priority="193" stopIfTrue="1" operator="equal">
      <formula>"&lt;DATUM&gt;"</formula>
    </cfRule>
  </conditionalFormatting>
  <conditionalFormatting sqref="J54:K54">
    <cfRule type="cellIs" dxfId="76" priority="192" stopIfTrue="1" operator="equal">
      <formula>"&lt;OPDRACHTGEVER&gt;"</formula>
    </cfRule>
  </conditionalFormatting>
  <conditionalFormatting sqref="D54:J54">
    <cfRule type="cellIs" dxfId="75" priority="191" stopIfTrue="1" operator="equal">
      <formula>"&lt;DATUM&gt;"</formula>
    </cfRule>
  </conditionalFormatting>
  <conditionalFormatting sqref="D54:J54">
    <cfRule type="cellIs" dxfId="74" priority="190" stopIfTrue="1" operator="equal">
      <formula>"&lt;OPDRACHTGEVER&gt;"</formula>
    </cfRule>
  </conditionalFormatting>
  <conditionalFormatting sqref="E54:I54">
    <cfRule type="cellIs" dxfId="73" priority="189" stopIfTrue="1" operator="equal">
      <formula>"&lt;DATUM&gt;"</formula>
    </cfRule>
  </conditionalFormatting>
  <conditionalFormatting sqref="E54:I54">
    <cfRule type="cellIs" dxfId="72" priority="188" stopIfTrue="1" operator="equal">
      <formula>"&lt;OPDRACHTGEVER&gt;"</formula>
    </cfRule>
  </conditionalFormatting>
  <conditionalFormatting sqref="C54">
    <cfRule type="cellIs" dxfId="71" priority="187" stopIfTrue="1" operator="equal">
      <formula>"&lt;DATUM&gt;"</formula>
    </cfRule>
  </conditionalFormatting>
  <conditionalFormatting sqref="C54">
    <cfRule type="cellIs" dxfId="70" priority="186" stopIfTrue="1" operator="equal">
      <formula>"&lt;OPDRACHTGEVER&gt;"</formula>
    </cfRule>
  </conditionalFormatting>
  <conditionalFormatting sqref="B54">
    <cfRule type="cellIs" dxfId="69" priority="185" stopIfTrue="1" operator="equal">
      <formula>"&lt;DATUM&gt;"</formula>
    </cfRule>
  </conditionalFormatting>
  <conditionalFormatting sqref="B54">
    <cfRule type="cellIs" dxfId="68" priority="184" stopIfTrue="1" operator="equal">
      <formula>"&lt;OPDRACHTGEVER&gt;"</formula>
    </cfRule>
  </conditionalFormatting>
  <conditionalFormatting sqref="A54">
    <cfRule type="cellIs" dxfId="67" priority="183" stopIfTrue="1" operator="equal">
      <formula>"&lt;DATUM&gt;"</formula>
    </cfRule>
  </conditionalFormatting>
  <conditionalFormatting sqref="A54">
    <cfRule type="cellIs" dxfId="66" priority="182" stopIfTrue="1" operator="equal">
      <formula>"&lt;OPDRACHTGEVER&gt;"</formula>
    </cfRule>
  </conditionalFormatting>
  <conditionalFormatting sqref="L54:O54">
    <cfRule type="cellIs" dxfId="65" priority="181" stopIfTrue="1" operator="equal">
      <formula>"&lt;DATUM&gt;"</formula>
    </cfRule>
  </conditionalFormatting>
  <conditionalFormatting sqref="L54:O54">
    <cfRule type="cellIs" dxfId="64" priority="180" stopIfTrue="1" operator="equal">
      <formula>"&lt;OPDRACHTGEVER&gt;"</formula>
    </cfRule>
  </conditionalFormatting>
  <conditionalFormatting sqref="E34">
    <cfRule type="cellIs" dxfId="63" priority="176" stopIfTrue="1" operator="equal">
      <formula>"&lt;DATUM&gt;"</formula>
    </cfRule>
  </conditionalFormatting>
  <conditionalFormatting sqref="E34">
    <cfRule type="cellIs" dxfId="62" priority="175" stopIfTrue="1" operator="equal">
      <formula>"&lt;OPDRACHTGEVER&gt;"</formula>
    </cfRule>
  </conditionalFormatting>
  <conditionalFormatting sqref="A34:C34">
    <cfRule type="cellIs" dxfId="61" priority="174" stopIfTrue="1" operator="equal">
      <formula>"&lt;DATUM&gt;"</formula>
    </cfRule>
  </conditionalFormatting>
  <conditionalFormatting sqref="A34:C34">
    <cfRule type="cellIs" dxfId="60" priority="173" stopIfTrue="1" operator="equal">
      <formula>"&lt;OPDRACHTGEVER&gt;"</formula>
    </cfRule>
  </conditionalFormatting>
  <conditionalFormatting sqref="L6:O10">
    <cfRule type="cellIs" dxfId="59" priority="116" stopIfTrue="1" operator="equal">
      <formula>"&lt;DATUM&gt;"</formula>
    </cfRule>
  </conditionalFormatting>
  <conditionalFormatting sqref="L6:O10">
    <cfRule type="cellIs" dxfId="58" priority="115" stopIfTrue="1" operator="equal">
      <formula>"&lt;OPDRACHTGEVER&gt;"</formula>
    </cfRule>
  </conditionalFormatting>
  <conditionalFormatting sqref="L4:O5">
    <cfRule type="cellIs" dxfId="57" priority="114" stopIfTrue="1" operator="equal">
      <formula>"&lt;DATUM&gt;"</formula>
    </cfRule>
  </conditionalFormatting>
  <conditionalFormatting sqref="L4:O5">
    <cfRule type="cellIs" dxfId="56" priority="113" stopIfTrue="1" operator="equal">
      <formula>"&lt;OPDRACHTGEVER&gt;"</formula>
    </cfRule>
  </conditionalFormatting>
  <conditionalFormatting sqref="F55:N64">
    <cfRule type="expression" dxfId="55" priority="88">
      <formula>D55&gt;0</formula>
    </cfRule>
  </conditionalFormatting>
  <conditionalFormatting sqref="F41">
    <cfRule type="cellIs" dxfId="54" priority="85" stopIfTrue="1" operator="equal">
      <formula>"&lt;DATUM&gt;"</formula>
    </cfRule>
  </conditionalFormatting>
  <conditionalFormatting sqref="F41">
    <cfRule type="cellIs" dxfId="53" priority="84" stopIfTrue="1" operator="equal">
      <formula>"&lt;OPDRACHTGEVER&gt;"</formula>
    </cfRule>
  </conditionalFormatting>
  <conditionalFormatting sqref="F48">
    <cfRule type="cellIs" dxfId="52" priority="83" stopIfTrue="1" operator="equal">
      <formula>"&lt;DATUM&gt;"</formula>
    </cfRule>
  </conditionalFormatting>
  <conditionalFormatting sqref="F48">
    <cfRule type="cellIs" dxfId="51" priority="82" stopIfTrue="1" operator="equal">
      <formula>"&lt;OPDRACHTGEVER&gt;"</formula>
    </cfRule>
  </conditionalFormatting>
  <conditionalFormatting sqref="H41">
    <cfRule type="cellIs" dxfId="50" priority="81" stopIfTrue="1" operator="equal">
      <formula>"&lt;DATUM&gt;"</formula>
    </cfRule>
  </conditionalFormatting>
  <conditionalFormatting sqref="H41">
    <cfRule type="cellIs" dxfId="49" priority="80" stopIfTrue="1" operator="equal">
      <formula>"&lt;OPDRACHTGEVER&gt;"</formula>
    </cfRule>
  </conditionalFormatting>
  <conditionalFormatting sqref="H48">
    <cfRule type="cellIs" dxfId="48" priority="79" stopIfTrue="1" operator="equal">
      <formula>"&lt;DATUM&gt;"</formula>
    </cfRule>
  </conditionalFormatting>
  <conditionalFormatting sqref="H48">
    <cfRule type="cellIs" dxfId="47" priority="78" stopIfTrue="1" operator="equal">
      <formula>"&lt;OPDRACHTGEVER&gt;"</formula>
    </cfRule>
  </conditionalFormatting>
  <conditionalFormatting sqref="J41">
    <cfRule type="cellIs" dxfId="46" priority="77" stopIfTrue="1" operator="equal">
      <formula>"&lt;DATUM&gt;"</formula>
    </cfRule>
  </conditionalFormatting>
  <conditionalFormatting sqref="J41">
    <cfRule type="cellIs" dxfId="45" priority="76" stopIfTrue="1" operator="equal">
      <formula>"&lt;OPDRACHTGEVER&gt;"</formula>
    </cfRule>
  </conditionalFormatting>
  <conditionalFormatting sqref="J48">
    <cfRule type="cellIs" dxfId="44" priority="75" stopIfTrue="1" operator="equal">
      <formula>"&lt;DATUM&gt;"</formula>
    </cfRule>
  </conditionalFormatting>
  <conditionalFormatting sqref="J48">
    <cfRule type="cellIs" dxfId="43" priority="74" stopIfTrue="1" operator="equal">
      <formula>"&lt;OPDRACHTGEVER&gt;"</formula>
    </cfRule>
  </conditionalFormatting>
  <conditionalFormatting sqref="L41">
    <cfRule type="cellIs" dxfId="42" priority="73" stopIfTrue="1" operator="equal">
      <formula>"&lt;DATUM&gt;"</formula>
    </cfRule>
  </conditionalFormatting>
  <conditionalFormatting sqref="L41">
    <cfRule type="cellIs" dxfId="41" priority="72" stopIfTrue="1" operator="equal">
      <formula>"&lt;OPDRACHTGEVER&gt;"</formula>
    </cfRule>
  </conditionalFormatting>
  <conditionalFormatting sqref="L48">
    <cfRule type="cellIs" dxfId="40" priority="71" stopIfTrue="1" operator="equal">
      <formula>"&lt;DATUM&gt;"</formula>
    </cfRule>
  </conditionalFormatting>
  <conditionalFormatting sqref="L48">
    <cfRule type="cellIs" dxfId="39" priority="70" stopIfTrue="1" operator="equal">
      <formula>"&lt;OPDRACHTGEVER&gt;"</formula>
    </cfRule>
  </conditionalFormatting>
  <conditionalFormatting sqref="N41">
    <cfRule type="cellIs" dxfId="38" priority="69" stopIfTrue="1" operator="equal">
      <formula>"&lt;DATUM&gt;"</formula>
    </cfRule>
  </conditionalFormatting>
  <conditionalFormatting sqref="N41">
    <cfRule type="cellIs" dxfId="37" priority="68" stopIfTrue="1" operator="equal">
      <formula>"&lt;OPDRACHTGEVER&gt;"</formula>
    </cfRule>
  </conditionalFormatting>
  <conditionalFormatting sqref="N48">
    <cfRule type="cellIs" dxfId="36" priority="67" stopIfTrue="1" operator="equal">
      <formula>"&lt;DATUM&gt;"</formula>
    </cfRule>
  </conditionalFormatting>
  <conditionalFormatting sqref="N48">
    <cfRule type="cellIs" dxfId="35" priority="66" stopIfTrue="1" operator="equal">
      <formula>"&lt;OPDRACHTGEVER&gt;"</formula>
    </cfRule>
  </conditionalFormatting>
  <conditionalFormatting sqref="P36">
    <cfRule type="cellIs" dxfId="34" priority="65" stopIfTrue="1" operator="equal">
      <formula>"&lt;DATUM&gt;"</formula>
    </cfRule>
  </conditionalFormatting>
  <conditionalFormatting sqref="P36">
    <cfRule type="cellIs" dxfId="33" priority="64" stopIfTrue="1" operator="equal">
      <formula>"&lt;OPDRACHTGEVER&gt;"</formula>
    </cfRule>
  </conditionalFormatting>
  <conditionalFormatting sqref="P52:Q52">
    <cfRule type="cellIs" dxfId="32" priority="63" stopIfTrue="1" operator="equal">
      <formula>"&lt;DATUM&gt;"</formula>
    </cfRule>
  </conditionalFormatting>
  <conditionalFormatting sqref="P52:Q52">
    <cfRule type="cellIs" dxfId="31" priority="62" stopIfTrue="1" operator="equal">
      <formula>"&lt;OPDRACHTGEVER&gt;"</formula>
    </cfRule>
  </conditionalFormatting>
  <conditionalFormatting sqref="Q48 S48 U48">
    <cfRule type="cellIs" dxfId="30" priority="61" stopIfTrue="1" operator="equal">
      <formula>"&lt;DATUM&gt;"</formula>
    </cfRule>
  </conditionalFormatting>
  <conditionalFormatting sqref="Q48 S48 U48">
    <cfRule type="cellIs" dxfId="29" priority="60" stopIfTrue="1" operator="equal">
      <formula>"&lt;OPDRACHTGEVER&gt;"</formula>
    </cfRule>
  </conditionalFormatting>
  <conditionalFormatting sqref="R52:U52">
    <cfRule type="cellIs" dxfId="28" priority="59" stopIfTrue="1" operator="equal">
      <formula>"&lt;DATUM&gt;"</formula>
    </cfRule>
  </conditionalFormatting>
  <conditionalFormatting sqref="R52:U52">
    <cfRule type="cellIs" dxfId="27" priority="58" stopIfTrue="1" operator="equal">
      <formula>"&lt;OPDRACHTGEVER&gt;"</formula>
    </cfRule>
  </conditionalFormatting>
  <conditionalFormatting sqref="P12:P15">
    <cfRule type="cellIs" dxfId="26" priority="45" stopIfTrue="1" operator="equal">
      <formula>"&lt;DATUM&gt;"</formula>
    </cfRule>
  </conditionalFormatting>
  <conditionalFormatting sqref="P12:P15">
    <cfRule type="cellIs" dxfId="25" priority="44" stopIfTrue="1" operator="equal">
      <formula>"&lt;OPDRACHTGEVER&gt;"</formula>
    </cfRule>
  </conditionalFormatting>
  <conditionalFormatting sqref="P27:U27 Q26:U26 P34:U34 Q28:U33">
    <cfRule type="cellIs" dxfId="24" priority="43" stopIfTrue="1" operator="equal">
      <formula>"&lt;DATUM&gt;"</formula>
    </cfRule>
  </conditionalFormatting>
  <conditionalFormatting sqref="P27:U27 Q26:U26 P34:U34 Q28:U33">
    <cfRule type="cellIs" dxfId="23" priority="42" stopIfTrue="1" operator="equal">
      <formula>"&lt;OPDRACHTGEVER&gt;"</formula>
    </cfRule>
  </conditionalFormatting>
  <conditionalFormatting sqref="P41">
    <cfRule type="cellIs" dxfId="22" priority="39" stopIfTrue="1" operator="equal">
      <formula>"&lt;DATUM&gt;"</formula>
    </cfRule>
  </conditionalFormatting>
  <conditionalFormatting sqref="P41">
    <cfRule type="cellIs" dxfId="21" priority="38" stopIfTrue="1" operator="equal">
      <formula>"&lt;OPDRACHTGEVER&gt;"</formula>
    </cfRule>
  </conditionalFormatting>
  <conditionalFormatting sqref="P48">
    <cfRule type="cellIs" dxfId="20" priority="37" stopIfTrue="1" operator="equal">
      <formula>"&lt;DATUM&gt;"</formula>
    </cfRule>
  </conditionalFormatting>
  <conditionalFormatting sqref="P48">
    <cfRule type="cellIs" dxfId="19" priority="36" stopIfTrue="1" operator="equal">
      <formula>"&lt;OPDRACHTGEVER&gt;"</formula>
    </cfRule>
  </conditionalFormatting>
  <conditionalFormatting sqref="R41">
    <cfRule type="cellIs" dxfId="18" priority="35" stopIfTrue="1" operator="equal">
      <formula>"&lt;DATUM&gt;"</formula>
    </cfRule>
  </conditionalFormatting>
  <conditionalFormatting sqref="R41">
    <cfRule type="cellIs" dxfId="17" priority="34" stopIfTrue="1" operator="equal">
      <formula>"&lt;OPDRACHTGEVER&gt;"</formula>
    </cfRule>
  </conditionalFormatting>
  <conditionalFormatting sqref="R48">
    <cfRule type="cellIs" dxfId="16" priority="33" stopIfTrue="1" operator="equal">
      <formula>"&lt;DATUM&gt;"</formula>
    </cfRule>
  </conditionalFormatting>
  <conditionalFormatting sqref="R48">
    <cfRule type="cellIs" dxfId="15" priority="32" stopIfTrue="1" operator="equal">
      <formula>"&lt;OPDRACHTGEVER&gt;"</formula>
    </cfRule>
  </conditionalFormatting>
  <conditionalFormatting sqref="T41">
    <cfRule type="cellIs" dxfId="14" priority="31" stopIfTrue="1" operator="equal">
      <formula>"&lt;DATUM&gt;"</formula>
    </cfRule>
  </conditionalFormatting>
  <conditionalFormatting sqref="T41">
    <cfRule type="cellIs" dxfId="13" priority="30" stopIfTrue="1" operator="equal">
      <formula>"&lt;OPDRACHTGEVER&gt;"</formula>
    </cfRule>
  </conditionalFormatting>
  <conditionalFormatting sqref="T48">
    <cfRule type="cellIs" dxfId="12" priority="29" stopIfTrue="1" operator="equal">
      <formula>"&lt;DATUM&gt;"</formula>
    </cfRule>
  </conditionalFormatting>
  <conditionalFormatting sqref="T48">
    <cfRule type="cellIs" dxfId="11" priority="28" stopIfTrue="1" operator="equal">
      <formula>"&lt;OPDRACHTGEVER&gt;"</formula>
    </cfRule>
  </conditionalFormatting>
  <conditionalFormatting sqref="B77:B87">
    <cfRule type="colorScale" priority="25">
      <colorScale>
        <cfvo type="min"/>
        <cfvo type="percentile" val="50"/>
        <cfvo type="max"/>
        <color rgb="FF61D6FF"/>
        <color rgb="FFFFD85D"/>
        <color rgb="FFFF6D6D"/>
      </colorScale>
    </cfRule>
  </conditionalFormatting>
  <conditionalFormatting sqref="O75">
    <cfRule type="cellIs" dxfId="10" priority="24" stopIfTrue="1" operator="equal">
      <formula>"&lt;DATUM&gt;"</formula>
    </cfRule>
  </conditionalFormatting>
  <conditionalFormatting sqref="O75">
    <cfRule type="cellIs" dxfId="9" priority="23" stopIfTrue="1" operator="equal">
      <formula>"&lt;OPDRACHTGEVER&gt;"</formula>
    </cfRule>
  </conditionalFormatting>
  <conditionalFormatting sqref="D77:D87">
    <cfRule type="colorScale" priority="21">
      <colorScale>
        <cfvo type="min"/>
        <cfvo type="percentile" val="50"/>
        <cfvo type="max"/>
        <color rgb="FF61D6FF"/>
        <color rgb="FFFFD85D"/>
        <color rgb="FFFF6D6D"/>
      </colorScale>
    </cfRule>
  </conditionalFormatting>
  <conditionalFormatting sqref="F77:F87">
    <cfRule type="colorScale" priority="20">
      <colorScale>
        <cfvo type="min"/>
        <cfvo type="percentile" val="50"/>
        <cfvo type="max"/>
        <color rgb="FF61D6FF"/>
        <color rgb="FFFFD85D"/>
        <color rgb="FFFF6D6D"/>
      </colorScale>
    </cfRule>
  </conditionalFormatting>
  <conditionalFormatting sqref="H77:H87">
    <cfRule type="colorScale" priority="19">
      <colorScale>
        <cfvo type="min"/>
        <cfvo type="percentile" val="50"/>
        <cfvo type="max"/>
        <color rgb="FF61D6FF"/>
        <color rgb="FFFFD85D"/>
        <color rgb="FFFF6D6D"/>
      </colorScale>
    </cfRule>
  </conditionalFormatting>
  <conditionalFormatting sqref="J77:J87">
    <cfRule type="colorScale" priority="18">
      <colorScale>
        <cfvo type="min"/>
        <cfvo type="percentile" val="50"/>
        <cfvo type="max"/>
        <color rgb="FF61D6FF"/>
        <color rgb="FFFFD85D"/>
        <color rgb="FFFF6D6D"/>
      </colorScale>
    </cfRule>
  </conditionalFormatting>
  <conditionalFormatting sqref="L77:L87">
    <cfRule type="colorScale" priority="17">
      <colorScale>
        <cfvo type="min"/>
        <cfvo type="percentile" val="50"/>
        <cfvo type="max"/>
        <color rgb="FF61D6FF"/>
        <color rgb="FFFFD85D"/>
        <color rgb="FFFF6D6D"/>
      </colorScale>
    </cfRule>
  </conditionalFormatting>
  <conditionalFormatting sqref="N77:N87">
    <cfRule type="colorScale" priority="16">
      <colorScale>
        <cfvo type="min"/>
        <cfvo type="percentile" val="50"/>
        <cfvo type="max"/>
        <color rgb="FF61D6FF"/>
        <color rgb="FFFFD85D"/>
        <color rgb="FFFF6D6D"/>
      </colorScale>
    </cfRule>
  </conditionalFormatting>
  <conditionalFormatting sqref="P77:P87">
    <cfRule type="colorScale" priority="15">
      <colorScale>
        <cfvo type="min"/>
        <cfvo type="percentile" val="50"/>
        <cfvo type="max"/>
        <color rgb="FF61D6FF"/>
        <color rgb="FFFFD85D"/>
        <color rgb="FFFF6D6D"/>
      </colorScale>
    </cfRule>
  </conditionalFormatting>
  <conditionalFormatting sqref="R77:R87">
    <cfRule type="colorScale" priority="14">
      <colorScale>
        <cfvo type="min"/>
        <cfvo type="percentile" val="50"/>
        <cfvo type="max"/>
        <color rgb="FF61D6FF"/>
        <color rgb="FFFFD85D"/>
        <color rgb="FFFF6D6D"/>
      </colorScale>
    </cfRule>
  </conditionalFormatting>
  <conditionalFormatting sqref="T77:T87">
    <cfRule type="colorScale" priority="13">
      <colorScale>
        <cfvo type="min"/>
        <cfvo type="percentile" val="50"/>
        <cfvo type="max"/>
        <color rgb="FF61D6FF"/>
        <color rgb="FFFFD85D"/>
        <color rgb="FFFF6D6D"/>
      </colorScale>
    </cfRule>
  </conditionalFormatting>
  <conditionalFormatting sqref="V77:V87">
    <cfRule type="colorScale" priority="12">
      <colorScale>
        <cfvo type="min"/>
        <cfvo type="percentile" val="50"/>
        <cfvo type="max"/>
        <color rgb="FF61D6FF"/>
        <color rgb="FFFFD85D"/>
        <color rgb="FFFF6D6D"/>
      </colorScale>
    </cfRule>
  </conditionalFormatting>
  <conditionalFormatting sqref="A25:C26">
    <cfRule type="cellIs" dxfId="8" priority="11" stopIfTrue="1" operator="equal">
      <formula>"&lt;DATUM&gt;"</formula>
    </cfRule>
  </conditionalFormatting>
  <conditionalFormatting sqref="A25:C26">
    <cfRule type="cellIs" dxfId="7" priority="10" stopIfTrue="1" operator="equal">
      <formula>"&lt;OPDRACHTGEVER&gt;"</formula>
    </cfRule>
  </conditionalFormatting>
  <conditionalFormatting sqref="A24:C24">
    <cfRule type="cellIs" dxfId="6" priority="9" stopIfTrue="1" operator="equal">
      <formula>"&lt;DATUM&gt;"</formula>
    </cfRule>
  </conditionalFormatting>
  <conditionalFormatting sqref="A24:C24">
    <cfRule type="cellIs" dxfId="5" priority="8" stopIfTrue="1" operator="equal">
      <formula>"&lt;OPDRACHTGEVER&gt;"</formula>
    </cfRule>
  </conditionalFormatting>
  <conditionalFormatting sqref="F68">
    <cfRule type="expression" dxfId="4" priority="5">
      <formula>D68&gt;0</formula>
    </cfRule>
  </conditionalFormatting>
  <conditionalFormatting sqref="A19:C19">
    <cfRule type="cellIs" dxfId="3" priority="4" stopIfTrue="1" operator="equal">
      <formula>"&lt;DATUM&gt;"</formula>
    </cfRule>
  </conditionalFormatting>
  <conditionalFormatting sqref="A19:C19">
    <cfRule type="cellIs" dxfId="2" priority="3" stopIfTrue="1" operator="equal">
      <formula>"&lt;OPDRACHTGEVER&gt;"</formula>
    </cfRule>
  </conditionalFormatting>
  <conditionalFormatting sqref="P19:U19">
    <cfRule type="cellIs" dxfId="1" priority="2" stopIfTrue="1" operator="equal">
      <formula>"&lt;DATUM&gt;"</formula>
    </cfRule>
  </conditionalFormatting>
  <conditionalFormatting sqref="P19:U19">
    <cfRule type="cellIs" dxfId="0" priority="1" stopIfTrue="1" operator="equal">
      <formula>"&lt;OPDRACHTGEVER&gt;"</formula>
    </cfRule>
  </conditionalFormatting>
  <dataValidations count="3">
    <dataValidation type="decimal" allowBlank="1" showErrorMessage="1" errorTitle="Onjuiste invoer" error="Kies een hoek tussen de 0 en 360°" sqref="B18" xr:uid="{561D21C5-9A15-40A2-8B8D-90051BF0B268}">
      <formula1>0</formula1>
      <formula2>360</formula2>
    </dataValidation>
    <dataValidation type="list" allowBlank="1" showInputMessage="1" showErrorMessage="1" sqref="B14" xr:uid="{1A0DF8A8-D7B0-4DA5-8857-C2ACF23EC473}">
      <formula1>"tot 1975, 1975 t/m 1991,1992 t/m 2014,vanaf 2015"</formula1>
    </dataValidation>
    <dataValidation type="list" allowBlank="1" showInputMessage="1" showErrorMessage="1" sqref="B15" xr:uid="{541CFCD5-75A4-4126-BFE5-BDB8A6D3DE38}">
      <formula1>"Nee,Ja"</formula1>
    </dataValidation>
  </dataValidations>
  <pageMargins left="0.23622047244094491" right="0.23622047244094491" top="0.74803149606299213" bottom="0.74803149606299213" header="0.31496062992125984" footer="0.31496062992125984"/>
  <pageSetup paperSize="9" scale="43" orientation="landscape" r:id="rId1"/>
  <headerFooter alignWithMargins="0">
    <oddHeader>&amp;CREKENTOOL VEREENVOUDIGDE BEPALINGSMETHODE KOELBEHOEFTE (BIJLAGE AA - VERSIE 2025 -NTA 8800)&amp;Rversie 2025.04 d.d. 09-04-2025</oddHeader>
    <oddFooter>&amp;LPrint datum:&amp;D &amp;T_x000D_&amp;1#&amp;"Calibri"&amp;10&amp;K000000 Intern gebruik&amp;C&amp;F&amp;R&amp;P van &amp;N</oddFooter>
  </headerFooter>
  <colBreaks count="1" manualBreakCount="1">
    <brk id="15" max="1048575" man="1"/>
  </colBreaks>
  <drawing r:id="rId2"/>
  <legacyDrawing r:id="rId3"/>
  <controls>
    <mc:AlternateContent xmlns:mc="http://schemas.openxmlformats.org/markup-compatibility/2006">
      <mc:Choice Requires="x14">
        <control shapeId="1257" r:id="rId4" name="PrintButton">
          <controlPr defaultSize="0" print="0" autoLine="0" r:id="rId5">
            <anchor moveWithCells="1">
              <from>
                <xdr:col>18</xdr:col>
                <xdr:colOff>9525</xdr:colOff>
                <xdr:row>3</xdr:row>
                <xdr:rowOff>95250</xdr:rowOff>
              </from>
              <to>
                <xdr:col>20</xdr:col>
                <xdr:colOff>304800</xdr:colOff>
                <xdr:row>9</xdr:row>
                <xdr:rowOff>66675</xdr:rowOff>
              </to>
            </anchor>
          </controlPr>
        </control>
      </mc:Choice>
      <mc:Fallback>
        <control shapeId="1257" r:id="rId4" name="PrintButton"/>
      </mc:Fallback>
    </mc:AlternateContent>
  </controls>
  <extLst>
    <ext xmlns:x14="http://schemas.microsoft.com/office/spreadsheetml/2009/9/main" uri="{CCE6A557-97BC-4b89-ADB6-D9C93CAAB3DF}">
      <x14:dataValidations xmlns:xm="http://schemas.microsoft.com/office/excel/2006/main" count="1">
        <x14:dataValidation type="list" allowBlank="1" showInputMessage="1" showErrorMessage="1" xr:uid="{EDDA8495-7C38-405B-A5EC-755B5DC97C40}">
          <x14:formula1>
            <xm:f>Tabellen!$A$42:$A$49</xm:f>
          </x14:formula1>
          <xm:sqref>B17:B18</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37215-8EE8-4F7B-A6AF-5E20D08F12A3}">
  <sheetPr codeName="Blad4">
    <pageSetUpPr fitToPage="1"/>
  </sheetPr>
  <dimension ref="A1:U95"/>
  <sheetViews>
    <sheetView showGridLines="0" zoomScale="90" zoomScaleNormal="90" zoomScalePageLayoutView="90" workbookViewId="0">
      <selection activeCell="B3" sqref="B3"/>
    </sheetView>
  </sheetViews>
  <sheetFormatPr defaultColWidth="9.140625" defaultRowHeight="12" x14ac:dyDescent="0.2"/>
  <cols>
    <col min="1" max="1" width="49.7109375" style="202" bestFit="1" customWidth="1"/>
    <col min="2" max="2" width="18.28515625" style="202" customWidth="1"/>
    <col min="3" max="3" width="6.28515625" style="202" bestFit="1" customWidth="1"/>
    <col min="4" max="4" width="18.28515625" style="202" customWidth="1"/>
    <col min="5" max="5" width="6.28515625" style="202" bestFit="1" customWidth="1"/>
    <col min="6" max="6" width="18.28515625" style="202" customWidth="1"/>
    <col min="7" max="7" width="6.28515625" style="202" bestFit="1" customWidth="1"/>
    <col min="8" max="8" width="18.28515625" style="202" customWidth="1"/>
    <col min="9" max="9" width="6.28515625" style="202" bestFit="1" customWidth="1"/>
    <col min="10" max="10" width="18.28515625" style="202" customWidth="1"/>
    <col min="11" max="11" width="6.28515625" style="202" bestFit="1" customWidth="1"/>
    <col min="12" max="12" width="18.28515625" style="202" customWidth="1"/>
    <col min="13" max="13" width="6.28515625" style="202" bestFit="1" customWidth="1"/>
    <col min="14" max="14" width="18.28515625" style="202" customWidth="1"/>
    <col min="15" max="15" width="6.28515625" style="202" bestFit="1" customWidth="1"/>
    <col min="16" max="16" width="18.28515625" style="202" customWidth="1"/>
    <col min="17" max="17" width="6.28515625" style="202" bestFit="1" customWidth="1"/>
    <col min="18" max="18" width="18.28515625" style="202" customWidth="1"/>
    <col min="19" max="19" width="6.28515625" style="202" bestFit="1" customWidth="1"/>
    <col min="20" max="20" width="18.28515625" style="194" customWidth="1"/>
    <col min="21" max="21" width="6.7109375" style="194" bestFit="1" customWidth="1"/>
    <col min="22" max="16384" width="9.140625" style="194"/>
  </cols>
  <sheetData>
    <row r="1" spans="1:21" s="192" customFormat="1" ht="24" customHeight="1" x14ac:dyDescent="0.2">
      <c r="A1" s="251" t="s">
        <v>194</v>
      </c>
      <c r="B1" s="251"/>
      <c r="C1" s="251"/>
      <c r="D1" s="251"/>
      <c r="E1" s="251"/>
      <c r="F1" s="251"/>
      <c r="G1" s="251"/>
      <c r="H1" s="251"/>
      <c r="I1" s="251"/>
      <c r="J1" s="251"/>
      <c r="K1" s="251"/>
      <c r="L1" s="251"/>
      <c r="M1" s="251"/>
      <c r="N1" s="251"/>
      <c r="O1" s="251"/>
      <c r="P1" s="251"/>
      <c r="Q1" s="251"/>
      <c r="R1" s="251"/>
      <c r="S1" s="251"/>
      <c r="T1" s="251"/>
      <c r="U1" s="251"/>
    </row>
    <row r="2" spans="1:21" s="193" customFormat="1" ht="12" customHeight="1" x14ac:dyDescent="0.2">
      <c r="A2" s="65"/>
      <c r="B2" s="75"/>
      <c r="C2" s="75"/>
      <c r="D2" s="75"/>
      <c r="E2" s="75"/>
      <c r="F2" s="75"/>
      <c r="G2" s="75"/>
      <c r="H2" s="75"/>
      <c r="I2" s="75"/>
      <c r="J2" s="75"/>
      <c r="K2" s="75"/>
      <c r="L2" s="75"/>
      <c r="M2" s="75"/>
      <c r="N2" s="75"/>
      <c r="O2" s="75"/>
      <c r="P2" s="75"/>
      <c r="Q2" s="75"/>
      <c r="R2" s="35"/>
      <c r="S2" s="35"/>
      <c r="T2" s="35"/>
      <c r="U2" s="35"/>
    </row>
    <row r="3" spans="1:21" ht="12" customHeight="1" x14ac:dyDescent="0.2">
      <c r="A3" s="36" t="s">
        <v>107</v>
      </c>
      <c r="B3" s="191"/>
      <c r="C3" s="75"/>
      <c r="D3" s="75"/>
      <c r="E3" s="75"/>
      <c r="F3" s="35"/>
      <c r="G3" s="75"/>
      <c r="H3" s="75"/>
      <c r="I3" s="75"/>
      <c r="J3" s="75"/>
      <c r="K3" s="75"/>
      <c r="L3" s="75"/>
      <c r="M3" s="75"/>
      <c r="N3" s="75"/>
      <c r="O3" s="75"/>
      <c r="P3" s="75"/>
      <c r="Q3" s="75"/>
      <c r="R3" s="35"/>
      <c r="S3" s="35"/>
      <c r="T3" s="35"/>
      <c r="U3" s="35"/>
    </row>
    <row r="4" spans="1:21" ht="12" customHeight="1" x14ac:dyDescent="0.2">
      <c r="A4" s="36" t="s">
        <v>191</v>
      </c>
      <c r="B4" s="33" t="s">
        <v>195</v>
      </c>
      <c r="C4" s="75"/>
      <c r="D4" s="75"/>
      <c r="E4" s="75"/>
      <c r="F4" s="35"/>
      <c r="G4" s="75"/>
      <c r="H4" s="75"/>
      <c r="I4" s="75"/>
      <c r="J4" s="75"/>
      <c r="K4" s="75"/>
      <c r="L4" s="75"/>
      <c r="M4" s="75"/>
      <c r="N4" s="75"/>
      <c r="O4" s="75"/>
      <c r="P4" s="75"/>
      <c r="Q4" s="75"/>
      <c r="R4" s="35"/>
      <c r="S4" s="35"/>
      <c r="T4" s="35"/>
      <c r="U4" s="35"/>
    </row>
    <row r="5" spans="1:21" ht="12" customHeight="1" x14ac:dyDescent="0.25">
      <c r="A5" s="39" t="s">
        <v>180</v>
      </c>
      <c r="B5" s="34">
        <v>0</v>
      </c>
      <c r="C5" s="36" t="s">
        <v>0</v>
      </c>
      <c r="D5" s="75"/>
      <c r="E5" s="75"/>
      <c r="F5" s="35"/>
      <c r="G5" s="75"/>
      <c r="H5" s="75"/>
      <c r="I5" s="75"/>
      <c r="J5" s="75"/>
      <c r="K5" s="75"/>
      <c r="L5" s="75"/>
      <c r="M5" s="75"/>
      <c r="N5" s="75"/>
      <c r="O5" s="75"/>
      <c r="P5" s="75"/>
      <c r="Q5" s="75"/>
      <c r="R5" s="35"/>
      <c r="S5" s="35"/>
      <c r="T5" s="35"/>
      <c r="U5" s="35"/>
    </row>
    <row r="6" spans="1:21" s="195" customFormat="1" ht="12" customHeight="1" x14ac:dyDescent="0.2">
      <c r="A6" s="75"/>
      <c r="B6" s="75"/>
      <c r="C6" s="75"/>
      <c r="D6" s="75"/>
      <c r="E6" s="75"/>
      <c r="F6" s="75"/>
      <c r="G6" s="75"/>
      <c r="H6" s="75"/>
      <c r="I6" s="75"/>
      <c r="J6" s="75"/>
      <c r="K6" s="75"/>
      <c r="L6" s="75"/>
      <c r="M6" s="75"/>
      <c r="N6" s="75"/>
      <c r="O6" s="75"/>
      <c r="P6" s="75"/>
      <c r="Q6" s="75"/>
      <c r="R6" s="75"/>
      <c r="S6" s="35"/>
      <c r="T6" s="35"/>
      <c r="U6" s="35"/>
    </row>
    <row r="7" spans="1:21" s="193" customFormat="1" ht="12" customHeight="1" x14ac:dyDescent="0.2">
      <c r="A7" s="65"/>
      <c r="B7" s="237" t="s">
        <v>181</v>
      </c>
      <c r="C7" s="237"/>
      <c r="D7" s="237"/>
      <c r="E7" s="76"/>
      <c r="F7" s="238" t="s">
        <v>182</v>
      </c>
      <c r="G7" s="237"/>
      <c r="H7" s="237"/>
      <c r="I7" s="76"/>
      <c r="J7" s="237" t="s">
        <v>183</v>
      </c>
      <c r="K7" s="237"/>
      <c r="L7" s="237"/>
      <c r="M7" s="76"/>
      <c r="N7" s="237" t="s">
        <v>184</v>
      </c>
      <c r="O7" s="237"/>
      <c r="P7" s="237"/>
      <c r="Q7" s="76"/>
      <c r="R7" s="238" t="s">
        <v>5</v>
      </c>
      <c r="S7" s="238"/>
      <c r="T7" s="238"/>
      <c r="U7" s="238"/>
    </row>
    <row r="8" spans="1:21" s="195" customFormat="1" ht="12" customHeight="1" x14ac:dyDescent="0.2">
      <c r="A8" s="72" t="s">
        <v>129</v>
      </c>
      <c r="B8" s="77">
        <f>'Projectgegevens en Resultaten'!$B$17</f>
        <v>0</v>
      </c>
      <c r="C8" s="183"/>
      <c r="D8" s="183"/>
      <c r="E8" s="183"/>
      <c r="F8" s="184" t="str">
        <f>o_Orientatie(F9)</f>
        <v>Oost</v>
      </c>
      <c r="G8" s="183"/>
      <c r="H8" s="183"/>
      <c r="I8" s="183"/>
      <c r="J8" s="184" t="str">
        <f>o_Orientatie(J9)</f>
        <v>Zuid</v>
      </c>
      <c r="K8" s="185"/>
      <c r="L8" s="185"/>
      <c r="M8" s="185"/>
      <c r="N8" s="184" t="str">
        <f>o_Orientatie(N9)</f>
        <v>West</v>
      </c>
      <c r="O8" s="185"/>
      <c r="P8" s="185"/>
      <c r="Q8" s="185"/>
      <c r="R8" s="186" t="s">
        <v>62</v>
      </c>
      <c r="S8" s="79"/>
      <c r="T8" s="78"/>
      <c r="U8" s="78"/>
    </row>
    <row r="9" spans="1:21" ht="12" hidden="1" customHeight="1" x14ac:dyDescent="0.2">
      <c r="A9" s="70" t="s">
        <v>132</v>
      </c>
      <c r="B9" s="80" cm="1">
        <f t="array" ref="B9">o_OrientatiehOEK(B8)</f>
        <v>0</v>
      </c>
      <c r="C9" s="187"/>
      <c r="D9" s="187"/>
      <c r="E9" s="187"/>
      <c r="F9" s="80">
        <f>IF(B9+90&gt;360,B9+90-360,B9+90)</f>
        <v>90</v>
      </c>
      <c r="G9" s="188"/>
      <c r="H9" s="188"/>
      <c r="I9" s="188"/>
      <c r="J9" s="80">
        <f>IF(F9+90&gt;360,F9+90-360,F9+90)</f>
        <v>180</v>
      </c>
      <c r="K9" s="185"/>
      <c r="L9" s="185"/>
      <c r="M9" s="185"/>
      <c r="N9" s="80">
        <f>IF(J9+90&gt;360,J9+90-360,J9+90)</f>
        <v>270</v>
      </c>
      <c r="O9" s="185"/>
      <c r="P9" s="185"/>
      <c r="Q9" s="185"/>
      <c r="R9" s="188"/>
      <c r="S9" s="79"/>
      <c r="T9" s="104"/>
      <c r="U9" s="104"/>
    </row>
    <row r="10" spans="1:21" s="195" customFormat="1" x14ac:dyDescent="0.2">
      <c r="A10" s="70" t="s">
        <v>102</v>
      </c>
      <c r="B10" s="44" t="s">
        <v>101</v>
      </c>
      <c r="C10" s="187"/>
      <c r="D10" s="187"/>
      <c r="E10" s="187"/>
      <c r="F10" s="44" t="s">
        <v>101</v>
      </c>
      <c r="G10" s="187"/>
      <c r="H10" s="187"/>
      <c r="I10" s="187"/>
      <c r="J10" s="44" t="s">
        <v>101</v>
      </c>
      <c r="K10" s="189"/>
      <c r="L10" s="189"/>
      <c r="M10" s="189"/>
      <c r="N10" s="44" t="s">
        <v>101</v>
      </c>
      <c r="O10" s="189"/>
      <c r="P10" s="189"/>
      <c r="Q10" s="189"/>
      <c r="R10" s="44" t="s">
        <v>101</v>
      </c>
      <c r="S10" s="82"/>
      <c r="T10" s="81"/>
      <c r="U10" s="81"/>
    </row>
    <row r="11" spans="1:21" s="195" customFormat="1" ht="12" customHeight="1" x14ac:dyDescent="0.2">
      <c r="A11" s="70" t="s">
        <v>133</v>
      </c>
      <c r="B11" s="295">
        <v>90</v>
      </c>
      <c r="C11" s="296" t="s">
        <v>103</v>
      </c>
      <c r="D11" s="295"/>
      <c r="E11" s="297"/>
      <c r="F11" s="295">
        <v>90</v>
      </c>
      <c r="G11" s="296" t="s">
        <v>103</v>
      </c>
      <c r="H11" s="295"/>
      <c r="I11" s="296"/>
      <c r="J11" s="295">
        <v>90</v>
      </c>
      <c r="K11" s="296" t="s">
        <v>103</v>
      </c>
      <c r="L11" s="295"/>
      <c r="M11" s="296"/>
      <c r="N11" s="295">
        <v>90</v>
      </c>
      <c r="O11" s="296" t="s">
        <v>103</v>
      </c>
      <c r="P11" s="295"/>
      <c r="Q11" s="295"/>
      <c r="R11" s="298">
        <v>0</v>
      </c>
      <c r="S11" s="296" t="s">
        <v>103</v>
      </c>
      <c r="T11" s="295"/>
      <c r="U11" s="296"/>
    </row>
    <row r="12" spans="1:21" s="195" customFormat="1" ht="12" customHeight="1" x14ac:dyDescent="0.2">
      <c r="A12" s="70" t="s">
        <v>130</v>
      </c>
      <c r="B12" s="298" t="str" cm="1">
        <f t="array" ref="B12">o_TypeConstructie(B10,B11)</f>
        <v>Woningscheidend</v>
      </c>
      <c r="C12" s="298"/>
      <c r="D12" s="298"/>
      <c r="E12" s="299"/>
      <c r="F12" s="298" t="str" cm="1">
        <f t="array" ref="F12">o_TypeConstructie(F10,F11)</f>
        <v>Woningscheidend</v>
      </c>
      <c r="G12" s="299"/>
      <c r="H12" s="298"/>
      <c r="I12" s="299"/>
      <c r="J12" s="298" t="str" cm="1">
        <f t="array" ref="J12">o_TypeConstructie(J10,J11)</f>
        <v>Woningscheidend</v>
      </c>
      <c r="K12" s="299"/>
      <c r="L12" s="298"/>
      <c r="M12" s="299"/>
      <c r="N12" s="298" t="str" cm="1">
        <f t="array" ref="N12">o_TypeConstructie(N10,N11)</f>
        <v>Woningscheidend</v>
      </c>
      <c r="O12" s="299"/>
      <c r="P12" s="298"/>
      <c r="Q12" s="298"/>
      <c r="R12" s="298" t="str" cm="1">
        <f t="array" ref="R12">o_TypeConstructie(R10,R11)</f>
        <v>Woningscheidend</v>
      </c>
      <c r="S12" s="300"/>
      <c r="T12" s="295"/>
      <c r="U12" s="296"/>
    </row>
    <row r="13" spans="1:21" s="195" customFormat="1" ht="12" customHeight="1" x14ac:dyDescent="0.2">
      <c r="A13" s="70" t="s">
        <v>127</v>
      </c>
      <c r="B13" s="300"/>
      <c r="C13" s="300" t="s">
        <v>1</v>
      </c>
      <c r="D13" s="300"/>
      <c r="E13" s="301"/>
      <c r="F13" s="300"/>
      <c r="G13" s="300" t="s">
        <v>1</v>
      </c>
      <c r="H13" s="300"/>
      <c r="I13" s="301"/>
      <c r="J13" s="300"/>
      <c r="K13" s="300" t="s">
        <v>1</v>
      </c>
      <c r="L13" s="300"/>
      <c r="M13" s="301"/>
      <c r="N13" s="300"/>
      <c r="O13" s="300" t="s">
        <v>1</v>
      </c>
      <c r="P13" s="300"/>
      <c r="Q13" s="301"/>
      <c r="R13" s="300"/>
      <c r="S13" s="300" t="s">
        <v>1</v>
      </c>
      <c r="T13" s="301"/>
      <c r="U13" s="301"/>
    </row>
    <row r="14" spans="1:21" s="195" customFormat="1" ht="12" customHeight="1" x14ac:dyDescent="0.2">
      <c r="A14" s="83" t="s">
        <v>128</v>
      </c>
      <c r="B14" s="300"/>
      <c r="C14" s="300" t="s">
        <v>1</v>
      </c>
      <c r="D14" s="300"/>
      <c r="E14" s="301"/>
      <c r="F14" s="300"/>
      <c r="G14" s="300" t="s">
        <v>1</v>
      </c>
      <c r="H14" s="300"/>
      <c r="I14" s="301"/>
      <c r="J14" s="300"/>
      <c r="K14" s="300" t="s">
        <v>1</v>
      </c>
      <c r="L14" s="300"/>
      <c r="M14" s="301"/>
      <c r="N14" s="300"/>
      <c r="O14" s="300" t="s">
        <v>1</v>
      </c>
      <c r="P14" s="300"/>
      <c r="Q14" s="301"/>
      <c r="R14" s="300"/>
      <c r="S14" s="300" t="s">
        <v>1</v>
      </c>
      <c r="T14" s="301"/>
      <c r="U14" s="301"/>
    </row>
    <row r="15" spans="1:21" s="195" customFormat="1" ht="12" customHeight="1" x14ac:dyDescent="0.2">
      <c r="A15" s="36" t="s">
        <v>104</v>
      </c>
      <c r="B15" s="301">
        <f>B13*B14</f>
        <v>0</v>
      </c>
      <c r="C15" s="301" t="s">
        <v>0</v>
      </c>
      <c r="D15" s="301"/>
      <c r="E15" s="301"/>
      <c r="F15" s="301">
        <f>F13*F14</f>
        <v>0</v>
      </c>
      <c r="G15" s="301" t="s">
        <v>0</v>
      </c>
      <c r="H15" s="301"/>
      <c r="I15" s="301"/>
      <c r="J15" s="301">
        <f>J13*J14</f>
        <v>0</v>
      </c>
      <c r="K15" s="301" t="s">
        <v>0</v>
      </c>
      <c r="L15" s="301"/>
      <c r="M15" s="301"/>
      <c r="N15" s="301">
        <f>N13*N14</f>
        <v>0</v>
      </c>
      <c r="O15" s="301" t="s">
        <v>0</v>
      </c>
      <c r="P15" s="301"/>
      <c r="Q15" s="301"/>
      <c r="R15" s="301">
        <f>R13*R14</f>
        <v>0</v>
      </c>
      <c r="S15" s="300" t="s">
        <v>0</v>
      </c>
      <c r="T15" s="301"/>
      <c r="U15" s="301"/>
    </row>
    <row r="16" spans="1:21" s="195" customFormat="1" ht="12" customHeight="1" x14ac:dyDescent="0.2">
      <c r="A16" s="36" t="s">
        <v>105</v>
      </c>
      <c r="B16" s="301">
        <f>MAX(0,B15-B18-D18)</f>
        <v>0</v>
      </c>
      <c r="C16" s="301" t="s">
        <v>0</v>
      </c>
      <c r="D16" s="301"/>
      <c r="E16" s="301"/>
      <c r="F16" s="301">
        <f>MAX(0,F15-F18-H18)</f>
        <v>0</v>
      </c>
      <c r="G16" s="301" t="s">
        <v>0</v>
      </c>
      <c r="H16" s="301"/>
      <c r="I16" s="301"/>
      <c r="J16" s="301">
        <f>MAX(0,J15-J18-L18)</f>
        <v>0</v>
      </c>
      <c r="K16" s="301" t="s">
        <v>0</v>
      </c>
      <c r="L16" s="301"/>
      <c r="M16" s="301"/>
      <c r="N16" s="301">
        <f>MAX(0,N15-N18-P18)</f>
        <v>0</v>
      </c>
      <c r="O16" s="301" t="s">
        <v>0</v>
      </c>
      <c r="P16" s="295"/>
      <c r="Q16" s="295"/>
      <c r="R16" s="301">
        <f>MAX(0,R15-R18-T18)</f>
        <v>0</v>
      </c>
      <c r="S16" s="300" t="s">
        <v>0</v>
      </c>
      <c r="T16" s="301"/>
      <c r="U16" s="301"/>
    </row>
    <row r="17" spans="1:21" s="195" customFormat="1" ht="12" customHeight="1" x14ac:dyDescent="0.2">
      <c r="A17" s="75"/>
      <c r="B17" s="302" t="s">
        <v>123</v>
      </c>
      <c r="C17" s="303"/>
      <c r="D17" s="302" t="s">
        <v>124</v>
      </c>
      <c r="E17" s="303"/>
      <c r="F17" s="302" t="s">
        <v>123</v>
      </c>
      <c r="G17" s="303"/>
      <c r="H17" s="302" t="s">
        <v>124</v>
      </c>
      <c r="I17" s="303"/>
      <c r="J17" s="302" t="s">
        <v>123</v>
      </c>
      <c r="K17" s="303"/>
      <c r="L17" s="302" t="s">
        <v>124</v>
      </c>
      <c r="M17" s="303"/>
      <c r="N17" s="302" t="s">
        <v>123</v>
      </c>
      <c r="O17" s="303"/>
      <c r="P17" s="302" t="s">
        <v>124</v>
      </c>
      <c r="Q17" s="303"/>
      <c r="R17" s="302" t="s">
        <v>123</v>
      </c>
      <c r="S17" s="303"/>
      <c r="T17" s="302" t="s">
        <v>124</v>
      </c>
      <c r="U17" s="303"/>
    </row>
    <row r="18" spans="1:21" s="195" customFormat="1" ht="12" customHeight="1" x14ac:dyDescent="0.25">
      <c r="A18" s="36" t="s">
        <v>218</v>
      </c>
      <c r="B18" s="295"/>
      <c r="C18" s="301" t="s">
        <v>0</v>
      </c>
      <c r="D18" s="295"/>
      <c r="E18" s="301" t="s">
        <v>0</v>
      </c>
      <c r="F18" s="295"/>
      <c r="G18" s="301" t="s">
        <v>0</v>
      </c>
      <c r="H18" s="295"/>
      <c r="I18" s="301" t="s">
        <v>0</v>
      </c>
      <c r="J18" s="295"/>
      <c r="K18" s="301" t="s">
        <v>0</v>
      </c>
      <c r="L18" s="295"/>
      <c r="M18" s="301" t="s">
        <v>0</v>
      </c>
      <c r="N18" s="295"/>
      <c r="O18" s="301" t="s">
        <v>0</v>
      </c>
      <c r="P18" s="295"/>
      <c r="Q18" s="301" t="s">
        <v>0</v>
      </c>
      <c r="R18" s="295"/>
      <c r="S18" s="301" t="s">
        <v>0</v>
      </c>
      <c r="T18" s="295"/>
      <c r="U18" s="301" t="s">
        <v>0</v>
      </c>
    </row>
    <row r="19" spans="1:21" s="195" customFormat="1" ht="12" customHeight="1" x14ac:dyDescent="0.25">
      <c r="A19" s="36" t="s">
        <v>134</v>
      </c>
      <c r="B19" s="295"/>
      <c r="C19" s="301" t="s">
        <v>98</v>
      </c>
      <c r="D19" s="295"/>
      <c r="E19" s="301" t="s">
        <v>98</v>
      </c>
      <c r="F19" s="295"/>
      <c r="G19" s="301" t="s">
        <v>98</v>
      </c>
      <c r="H19" s="295"/>
      <c r="I19" s="301" t="s">
        <v>98</v>
      </c>
      <c r="J19" s="295"/>
      <c r="K19" s="301" t="s">
        <v>98</v>
      </c>
      <c r="L19" s="295"/>
      <c r="M19" s="301" t="s">
        <v>98</v>
      </c>
      <c r="N19" s="295"/>
      <c r="O19" s="301" t="s">
        <v>98</v>
      </c>
      <c r="P19" s="295"/>
      <c r="Q19" s="301" t="s">
        <v>98</v>
      </c>
      <c r="R19" s="295"/>
      <c r="S19" s="301" t="s">
        <v>98</v>
      </c>
      <c r="T19" s="295"/>
      <c r="U19" s="301" t="s">
        <v>98</v>
      </c>
    </row>
    <row r="20" spans="1:21" s="195" customFormat="1" ht="12" customHeight="1" x14ac:dyDescent="0.2">
      <c r="A20" s="66" t="s">
        <v>221</v>
      </c>
      <c r="B20" s="295">
        <v>1</v>
      </c>
      <c r="C20" s="301"/>
      <c r="D20" s="295">
        <v>1</v>
      </c>
      <c r="E20" s="301"/>
      <c r="F20" s="295">
        <v>1</v>
      </c>
      <c r="G20" s="301"/>
      <c r="H20" s="295">
        <v>1</v>
      </c>
      <c r="I20" s="301"/>
      <c r="J20" s="295">
        <v>1</v>
      </c>
      <c r="K20" s="301"/>
      <c r="L20" s="295">
        <v>1</v>
      </c>
      <c r="M20" s="301"/>
      <c r="N20" s="295">
        <v>1</v>
      </c>
      <c r="O20" s="300"/>
      <c r="P20" s="295">
        <v>1</v>
      </c>
      <c r="Q20" s="301"/>
      <c r="R20" s="295">
        <v>1</v>
      </c>
      <c r="S20" s="300"/>
      <c r="T20" s="295">
        <v>1</v>
      </c>
      <c r="U20" s="301"/>
    </row>
    <row r="21" spans="1:21" s="195" customFormat="1" ht="12" customHeight="1" x14ac:dyDescent="0.2">
      <c r="A21" s="67" t="s">
        <v>219</v>
      </c>
      <c r="B21" s="220" t="s">
        <v>111</v>
      </c>
      <c r="C21" s="304"/>
      <c r="D21" s="220" t="s">
        <v>111</v>
      </c>
      <c r="E21" s="304"/>
      <c r="F21" s="220" t="s">
        <v>111</v>
      </c>
      <c r="G21" s="304"/>
      <c r="H21" s="220" t="s">
        <v>111</v>
      </c>
      <c r="I21" s="304"/>
      <c r="J21" s="220" t="s">
        <v>111</v>
      </c>
      <c r="K21" s="304"/>
      <c r="L21" s="220" t="s">
        <v>111</v>
      </c>
      <c r="M21" s="304"/>
      <c r="N21" s="220" t="s">
        <v>111</v>
      </c>
      <c r="O21" s="310"/>
      <c r="P21" s="220" t="s">
        <v>111</v>
      </c>
      <c r="Q21" s="304"/>
      <c r="R21" s="220" t="s">
        <v>111</v>
      </c>
      <c r="S21" s="310"/>
      <c r="T21" s="220" t="s">
        <v>111</v>
      </c>
      <c r="U21" s="301"/>
    </row>
    <row r="22" spans="1:21" s="195" customFormat="1" ht="68.25" customHeight="1" x14ac:dyDescent="0.2">
      <c r="A22" s="85"/>
      <c r="B22" s="301"/>
      <c r="C22" s="301"/>
      <c r="D22" s="301"/>
      <c r="E22" s="301"/>
      <c r="F22" s="301"/>
      <c r="G22" s="301"/>
      <c r="H22" s="301"/>
      <c r="I22" s="301"/>
      <c r="J22" s="301"/>
      <c r="K22" s="301"/>
      <c r="L22" s="301"/>
      <c r="M22" s="301"/>
      <c r="N22" s="301"/>
      <c r="O22" s="301"/>
      <c r="P22" s="301"/>
      <c r="Q22" s="301"/>
      <c r="R22" s="301"/>
      <c r="S22" s="300"/>
      <c r="T22" s="301"/>
      <c r="U22" s="301"/>
    </row>
    <row r="23" spans="1:21" s="195" customFormat="1" x14ac:dyDescent="0.2">
      <c r="A23" s="85"/>
      <c r="B23" s="302" t="s">
        <v>166</v>
      </c>
      <c r="C23" s="301"/>
      <c r="D23" s="302" t="s">
        <v>166</v>
      </c>
      <c r="E23" s="301"/>
      <c r="F23" s="302" t="s">
        <v>166</v>
      </c>
      <c r="G23" s="301"/>
      <c r="H23" s="302" t="s">
        <v>166</v>
      </c>
      <c r="I23" s="301"/>
      <c r="J23" s="302" t="s">
        <v>166</v>
      </c>
      <c r="K23" s="301"/>
      <c r="L23" s="302" t="s">
        <v>166</v>
      </c>
      <c r="M23" s="301"/>
      <c r="N23" s="302" t="s">
        <v>166</v>
      </c>
      <c r="O23" s="301"/>
      <c r="P23" s="302" t="s">
        <v>166</v>
      </c>
      <c r="Q23" s="301"/>
      <c r="R23" s="302"/>
      <c r="S23" s="301"/>
      <c r="T23" s="302"/>
      <c r="U23" s="301"/>
    </row>
    <row r="24" spans="1:21" s="195" customFormat="1" ht="12" customHeight="1" x14ac:dyDescent="0.2">
      <c r="A24" s="86" t="s">
        <v>120</v>
      </c>
      <c r="B24" s="305">
        <v>0</v>
      </c>
      <c r="C24" s="87" t="s">
        <v>1</v>
      </c>
      <c r="D24" s="305">
        <v>0</v>
      </c>
      <c r="E24" s="87" t="s">
        <v>1</v>
      </c>
      <c r="F24" s="305">
        <v>0</v>
      </c>
      <c r="G24" s="87" t="s">
        <v>1</v>
      </c>
      <c r="H24" s="305">
        <v>0</v>
      </c>
      <c r="I24" s="87" t="s">
        <v>1</v>
      </c>
      <c r="J24" s="305">
        <v>0</v>
      </c>
      <c r="K24" s="87" t="s">
        <v>1</v>
      </c>
      <c r="L24" s="305">
        <v>0</v>
      </c>
      <c r="M24" s="87" t="s">
        <v>1</v>
      </c>
      <c r="N24" s="305">
        <v>0</v>
      </c>
      <c r="O24" s="87" t="s">
        <v>1</v>
      </c>
      <c r="P24" s="305">
        <v>0</v>
      </c>
      <c r="Q24" s="87" t="s">
        <v>1</v>
      </c>
      <c r="R24" s="305">
        <v>0</v>
      </c>
      <c r="S24" s="87"/>
      <c r="T24" s="305">
        <v>0</v>
      </c>
      <c r="U24" s="87" t="s">
        <v>1</v>
      </c>
    </row>
    <row r="25" spans="1:21" s="195" customFormat="1" ht="12" customHeight="1" x14ac:dyDescent="0.2">
      <c r="A25" s="88" t="s">
        <v>121</v>
      </c>
      <c r="B25" s="305">
        <v>0</v>
      </c>
      <c r="C25" s="87" t="s">
        <v>1</v>
      </c>
      <c r="D25" s="305">
        <v>0</v>
      </c>
      <c r="E25" s="87" t="s">
        <v>1</v>
      </c>
      <c r="F25" s="305">
        <v>0</v>
      </c>
      <c r="G25" s="87" t="s">
        <v>1</v>
      </c>
      <c r="H25" s="305">
        <v>0</v>
      </c>
      <c r="I25" s="87" t="s">
        <v>1</v>
      </c>
      <c r="J25" s="305">
        <v>0</v>
      </c>
      <c r="K25" s="87" t="s">
        <v>1</v>
      </c>
      <c r="L25" s="305">
        <v>0</v>
      </c>
      <c r="M25" s="87" t="s">
        <v>1</v>
      </c>
      <c r="N25" s="305">
        <v>0</v>
      </c>
      <c r="O25" s="87" t="s">
        <v>1</v>
      </c>
      <c r="P25" s="305">
        <v>0</v>
      </c>
      <c r="Q25" s="87" t="s">
        <v>1</v>
      </c>
      <c r="R25" s="305">
        <v>0</v>
      </c>
      <c r="S25" s="87"/>
      <c r="T25" s="305">
        <v>0</v>
      </c>
      <c r="U25" s="87" t="s">
        <v>1</v>
      </c>
    </row>
    <row r="26" spans="1:21" s="195" customFormat="1" ht="12" customHeight="1" x14ac:dyDescent="0.2">
      <c r="A26" s="89" t="s">
        <v>163</v>
      </c>
      <c r="B26" s="306">
        <f>IFERROR(180/PI()*ATAN(B24/B25),0)</f>
        <v>0</v>
      </c>
      <c r="C26" s="90" t="s">
        <v>103</v>
      </c>
      <c r="D26" s="306">
        <f>IFERROR(180/PI()*ATAN(D24/D25),0)</f>
        <v>0</v>
      </c>
      <c r="E26" s="90" t="s">
        <v>103</v>
      </c>
      <c r="F26" s="306">
        <f>IFERROR(180/PI()*ATAN(F24/F25),0)</f>
        <v>0</v>
      </c>
      <c r="G26" s="90" t="s">
        <v>103</v>
      </c>
      <c r="H26" s="306">
        <f>IFERROR(180/PI()*ATAN(H24/H25),0)</f>
        <v>0</v>
      </c>
      <c r="I26" s="90" t="s">
        <v>103</v>
      </c>
      <c r="J26" s="306">
        <f>IFERROR(180/PI()*ATAN(J24/J25),0)</f>
        <v>0</v>
      </c>
      <c r="K26" s="90" t="s">
        <v>103</v>
      </c>
      <c r="L26" s="306">
        <f>IFERROR(180/PI()*ATAN(L24/L25),0)</f>
        <v>0</v>
      </c>
      <c r="M26" s="90" t="s">
        <v>103</v>
      </c>
      <c r="N26" s="306">
        <f>IFERROR(180/PI()*ATAN(N24/N25),0)</f>
        <v>0</v>
      </c>
      <c r="O26" s="90" t="s">
        <v>103</v>
      </c>
      <c r="P26" s="306">
        <f>IFERROR(180/PI()*ATAN(P24/P25),0)</f>
        <v>0</v>
      </c>
      <c r="Q26" s="90" t="s">
        <v>103</v>
      </c>
      <c r="R26" s="306"/>
      <c r="S26" s="90"/>
      <c r="T26" s="306"/>
      <c r="U26" s="90" t="s">
        <v>103</v>
      </c>
    </row>
    <row r="27" spans="1:21" s="195" customFormat="1" ht="12" customHeight="1" x14ac:dyDescent="0.2">
      <c r="A27" s="89" t="s">
        <v>119</v>
      </c>
      <c r="B27" s="305">
        <f>IFERROR(B24/B25,1)</f>
        <v>1</v>
      </c>
      <c r="C27" s="87"/>
      <c r="D27" s="305">
        <f>IFERROR(D24/D25,1)</f>
        <v>1</v>
      </c>
      <c r="E27" s="87"/>
      <c r="F27" s="305">
        <f>IFERROR(F24/F25,1)</f>
        <v>1</v>
      </c>
      <c r="G27" s="87"/>
      <c r="H27" s="305">
        <f>IFERROR(H24/H25,1)</f>
        <v>1</v>
      </c>
      <c r="I27" s="87"/>
      <c r="J27" s="305">
        <f>IFERROR(J24/J25,1)</f>
        <v>1</v>
      </c>
      <c r="K27" s="87"/>
      <c r="L27" s="305">
        <f>IFERROR(L24/L25,1)</f>
        <v>1</v>
      </c>
      <c r="M27" s="87"/>
      <c r="N27" s="305">
        <f>IFERROR(N24/N25,1)</f>
        <v>1</v>
      </c>
      <c r="O27" s="87"/>
      <c r="P27" s="305">
        <f>IFERROR(P24/P25,1)</f>
        <v>1</v>
      </c>
      <c r="Q27" s="87"/>
      <c r="R27" s="305"/>
      <c r="S27" s="87"/>
      <c r="T27" s="305"/>
      <c r="U27" s="87"/>
    </row>
    <row r="28" spans="1:21" s="195" customFormat="1" ht="101.25" customHeight="1" x14ac:dyDescent="0.2">
      <c r="A28" s="91"/>
      <c r="B28" s="301"/>
      <c r="C28" s="301"/>
      <c r="D28" s="301"/>
      <c r="E28" s="301"/>
      <c r="F28" s="301"/>
      <c r="G28" s="301"/>
      <c r="H28" s="301"/>
      <c r="I28" s="301"/>
      <c r="J28" s="301"/>
      <c r="K28" s="301"/>
      <c r="L28" s="301"/>
      <c r="M28" s="301"/>
      <c r="N28" s="301"/>
      <c r="O28" s="301"/>
      <c r="P28" s="301"/>
      <c r="Q28" s="301"/>
      <c r="R28" s="302"/>
      <c r="S28" s="302"/>
      <c r="T28" s="302"/>
      <c r="U28" s="301"/>
    </row>
    <row r="29" spans="1:21" s="195" customFormat="1" x14ac:dyDescent="0.2">
      <c r="A29" s="91"/>
      <c r="B29" s="302" t="s">
        <v>113</v>
      </c>
      <c r="C29" s="301"/>
      <c r="D29" s="302" t="s">
        <v>113</v>
      </c>
      <c r="E29" s="301"/>
      <c r="F29" s="302" t="s">
        <v>113</v>
      </c>
      <c r="G29" s="301"/>
      <c r="H29" s="302" t="s">
        <v>113</v>
      </c>
      <c r="I29" s="301"/>
      <c r="J29" s="302" t="s">
        <v>113</v>
      </c>
      <c r="K29" s="301"/>
      <c r="L29" s="302" t="s">
        <v>113</v>
      </c>
      <c r="M29" s="301"/>
      <c r="N29" s="302" t="s">
        <v>113</v>
      </c>
      <c r="O29" s="301"/>
      <c r="P29" s="302" t="s">
        <v>113</v>
      </c>
      <c r="Q29" s="301"/>
      <c r="R29" s="302"/>
      <c r="S29" s="302"/>
      <c r="T29" s="302"/>
      <c r="U29" s="301"/>
    </row>
    <row r="30" spans="1:21" s="195" customFormat="1" ht="12" customHeight="1" x14ac:dyDescent="0.2">
      <c r="A30" s="89" t="s">
        <v>158</v>
      </c>
      <c r="B30" s="305" t="s">
        <v>252</v>
      </c>
      <c r="C30" s="87"/>
      <c r="D30" s="305" t="s">
        <v>252</v>
      </c>
      <c r="E30" s="87"/>
      <c r="F30" s="305" t="s">
        <v>252</v>
      </c>
      <c r="G30" s="87"/>
      <c r="H30" s="305" t="s">
        <v>252</v>
      </c>
      <c r="I30" s="87"/>
      <c r="J30" s="305" t="s">
        <v>252</v>
      </c>
      <c r="K30" s="87"/>
      <c r="L30" s="305" t="s">
        <v>252</v>
      </c>
      <c r="M30" s="87"/>
      <c r="N30" s="305" t="s">
        <v>252</v>
      </c>
      <c r="O30" s="87"/>
      <c r="P30" s="305" t="s">
        <v>252</v>
      </c>
      <c r="Q30" s="87"/>
      <c r="R30" s="302" t="s">
        <v>252</v>
      </c>
      <c r="S30" s="302"/>
      <c r="T30" s="302" t="s">
        <v>252</v>
      </c>
      <c r="U30" s="87"/>
    </row>
    <row r="31" spans="1:21" s="195" customFormat="1" ht="12" customHeight="1" x14ac:dyDescent="0.2">
      <c r="A31" s="89" t="s">
        <v>155</v>
      </c>
      <c r="B31" s="305">
        <v>0</v>
      </c>
      <c r="C31" s="87" t="s">
        <v>1</v>
      </c>
      <c r="D31" s="305">
        <v>0</v>
      </c>
      <c r="E31" s="87" t="s">
        <v>1</v>
      </c>
      <c r="F31" s="305">
        <v>0</v>
      </c>
      <c r="G31" s="87" t="s">
        <v>1</v>
      </c>
      <c r="H31" s="305">
        <v>0</v>
      </c>
      <c r="I31" s="87" t="s">
        <v>1</v>
      </c>
      <c r="J31" s="305">
        <v>0</v>
      </c>
      <c r="K31" s="87" t="s">
        <v>1</v>
      </c>
      <c r="L31" s="305">
        <v>0</v>
      </c>
      <c r="M31" s="87" t="s">
        <v>1</v>
      </c>
      <c r="N31" s="305">
        <v>0</v>
      </c>
      <c r="O31" s="87" t="s">
        <v>1</v>
      </c>
      <c r="P31" s="305">
        <v>0</v>
      </c>
      <c r="Q31" s="87" t="s">
        <v>1</v>
      </c>
      <c r="R31" s="302">
        <v>0</v>
      </c>
      <c r="S31" s="302"/>
      <c r="T31" s="302">
        <v>0</v>
      </c>
      <c r="U31" s="87" t="s">
        <v>1</v>
      </c>
    </row>
    <row r="32" spans="1:21" s="195" customFormat="1" ht="12" customHeight="1" x14ac:dyDescent="0.2">
      <c r="A32" s="89" t="s">
        <v>156</v>
      </c>
      <c r="B32" s="305">
        <v>0</v>
      </c>
      <c r="C32" s="90" t="s">
        <v>1</v>
      </c>
      <c r="D32" s="305">
        <v>0</v>
      </c>
      <c r="E32" s="90" t="s">
        <v>1</v>
      </c>
      <c r="F32" s="305">
        <v>0</v>
      </c>
      <c r="G32" s="90" t="s">
        <v>1</v>
      </c>
      <c r="H32" s="305">
        <v>0</v>
      </c>
      <c r="I32" s="90" t="s">
        <v>1</v>
      </c>
      <c r="J32" s="305">
        <v>0</v>
      </c>
      <c r="K32" s="90" t="s">
        <v>1</v>
      </c>
      <c r="L32" s="305">
        <v>0</v>
      </c>
      <c r="M32" s="90" t="s">
        <v>1</v>
      </c>
      <c r="N32" s="305">
        <v>0</v>
      </c>
      <c r="O32" s="90" t="s">
        <v>1</v>
      </c>
      <c r="P32" s="305">
        <v>0</v>
      </c>
      <c r="Q32" s="90" t="s">
        <v>1</v>
      </c>
      <c r="R32" s="302">
        <v>0</v>
      </c>
      <c r="S32" s="302"/>
      <c r="T32" s="302">
        <v>0</v>
      </c>
      <c r="U32" s="87" t="s">
        <v>1</v>
      </c>
    </row>
    <row r="33" spans="1:21" s="195" customFormat="1" ht="12" customHeight="1" x14ac:dyDescent="0.25">
      <c r="A33" s="89" t="s">
        <v>157</v>
      </c>
      <c r="B33" s="305">
        <f>IFERROR(B31/B32,999)</f>
        <v>999</v>
      </c>
      <c r="C33" s="87"/>
      <c r="D33" s="305">
        <f>IFERROR(D31/D32,999)</f>
        <v>999</v>
      </c>
      <c r="E33" s="87"/>
      <c r="F33" s="305">
        <f>IFERROR(F31/F32,999)</f>
        <v>999</v>
      </c>
      <c r="G33" s="87"/>
      <c r="H33" s="305">
        <f>IFERROR(H31/H32,999)</f>
        <v>999</v>
      </c>
      <c r="I33" s="87"/>
      <c r="J33" s="305">
        <f>IFERROR(J31/J32,999)</f>
        <v>999</v>
      </c>
      <c r="K33" s="87"/>
      <c r="L33" s="305">
        <f>IFERROR(L31/L32,999)</f>
        <v>999</v>
      </c>
      <c r="M33" s="87"/>
      <c r="N33" s="305">
        <f>IFERROR(N31/N32,999)</f>
        <v>999</v>
      </c>
      <c r="O33" s="87"/>
      <c r="P33" s="305">
        <f>IFERROR(P31/P32,999)</f>
        <v>999</v>
      </c>
      <c r="Q33" s="87"/>
      <c r="R33" s="302"/>
      <c r="S33" s="302"/>
      <c r="T33" s="302"/>
      <c r="U33" s="87"/>
    </row>
    <row r="34" spans="1:21" s="195" customFormat="1" x14ac:dyDescent="0.2">
      <c r="A34" s="75"/>
      <c r="B34" s="303"/>
      <c r="C34" s="303"/>
      <c r="D34" s="303"/>
      <c r="E34" s="303"/>
      <c r="F34" s="303"/>
      <c r="G34" s="303"/>
      <c r="H34" s="303"/>
      <c r="I34" s="303"/>
      <c r="J34" s="303"/>
      <c r="K34" s="303"/>
      <c r="L34" s="303"/>
      <c r="M34" s="303"/>
      <c r="N34" s="303"/>
      <c r="O34" s="303"/>
      <c r="P34" s="303"/>
      <c r="Q34" s="303"/>
      <c r="R34" s="303"/>
      <c r="S34" s="303"/>
      <c r="T34" s="303"/>
      <c r="U34" s="303"/>
    </row>
    <row r="35" spans="1:21" s="195" customFormat="1" ht="12" customHeight="1" x14ac:dyDescent="0.25">
      <c r="A35" s="36" t="s">
        <v>135</v>
      </c>
      <c r="B35" s="305" cm="1">
        <f t="array" ref="B35">IFERROR(o_Beschaduwingreductie(B21,B8,B27,B30,B33,B11),1)</f>
        <v>1</v>
      </c>
      <c r="C35" s="301"/>
      <c r="D35" s="305" cm="1">
        <f t="array" ref="D35">IFERROR(o_Beschaduwingreductie(D21,B8,D27,D30,D33,B11),1)</f>
        <v>1</v>
      </c>
      <c r="E35" s="301"/>
      <c r="F35" s="305" cm="1">
        <f t="array" ref="F35">IFERROR(o_Beschaduwingreductie(F21,F8,F27,F30,F33,F11),1)</f>
        <v>1</v>
      </c>
      <c r="G35" s="301"/>
      <c r="H35" s="305" cm="1">
        <f t="array" ref="H35">IFERROR(o_Beschaduwingreductie(H21,F8,H27,H30,H33,F11),1)</f>
        <v>1</v>
      </c>
      <c r="I35" s="301"/>
      <c r="J35" s="305" cm="1">
        <f t="array" ref="J35">IFERROR(o_Beschaduwingreductie(J21,J8,J27,J30,J33,J11),1)</f>
        <v>1</v>
      </c>
      <c r="K35" s="301"/>
      <c r="L35" s="305" cm="1">
        <f t="array" ref="L35">IFERROR(o_Beschaduwingreductie(L21,J8,L27,L30,L33,J11),1)</f>
        <v>1</v>
      </c>
      <c r="M35" s="301"/>
      <c r="N35" s="305" cm="1">
        <f t="array" ref="N35">IFERROR(o_Beschaduwingreductie(N21,N8,N27,N30,N33,N11),1)</f>
        <v>1</v>
      </c>
      <c r="O35" s="301"/>
      <c r="P35" s="305" cm="1">
        <f t="array" ref="P35">IFERROR(o_Beschaduwingreductie(P21,N8,P27,P30,P33,N11),1)</f>
        <v>1</v>
      </c>
      <c r="Q35" s="301"/>
      <c r="R35" s="159" cm="1">
        <f t="array" ref="R35">o_Beschaduwingreductie(R21,R8,R27,R30,R33,R11)</f>
        <v>1</v>
      </c>
      <c r="S35" s="300"/>
      <c r="T35" s="305" cm="1">
        <f t="array" ref="T35">o_Beschaduwingreductie(T21,R8,T27,T30,T33,R11)</f>
        <v>1</v>
      </c>
      <c r="U35" s="301"/>
    </row>
    <row r="36" spans="1:21" s="195" customFormat="1" x14ac:dyDescent="0.2">
      <c r="A36" s="75"/>
      <c r="B36" s="303"/>
      <c r="C36" s="303"/>
      <c r="D36" s="303"/>
      <c r="E36" s="303"/>
      <c r="F36" s="303"/>
      <c r="G36" s="303"/>
      <c r="H36" s="303"/>
      <c r="I36" s="303"/>
      <c r="J36" s="303"/>
      <c r="K36" s="303"/>
      <c r="L36" s="303"/>
      <c r="M36" s="303"/>
      <c r="N36" s="303"/>
      <c r="O36" s="303"/>
      <c r="P36" s="303"/>
      <c r="Q36" s="303"/>
      <c r="R36" s="303"/>
      <c r="S36" s="303"/>
      <c r="T36" s="303"/>
      <c r="U36" s="303"/>
    </row>
    <row r="37" spans="1:21" s="195" customFormat="1" ht="12" customHeight="1" x14ac:dyDescent="0.2">
      <c r="A37" s="36" t="s">
        <v>82</v>
      </c>
      <c r="B37" s="220" t="s">
        <v>84</v>
      </c>
      <c r="C37" s="307"/>
      <c r="D37" s="220" t="s">
        <v>84</v>
      </c>
      <c r="E37" s="304"/>
      <c r="F37" s="220" t="s">
        <v>84</v>
      </c>
      <c r="G37" s="307"/>
      <c r="H37" s="220" t="s">
        <v>84</v>
      </c>
      <c r="I37" s="304"/>
      <c r="J37" s="220" t="s">
        <v>84</v>
      </c>
      <c r="K37" s="307"/>
      <c r="L37" s="220" t="s">
        <v>84</v>
      </c>
      <c r="M37" s="304"/>
      <c r="N37" s="220" t="s">
        <v>84</v>
      </c>
      <c r="O37" s="307"/>
      <c r="P37" s="220" t="s">
        <v>84</v>
      </c>
      <c r="Q37" s="304"/>
      <c r="R37" s="220" t="s">
        <v>84</v>
      </c>
      <c r="S37" s="307"/>
      <c r="T37" s="220" t="s">
        <v>84</v>
      </c>
      <c r="U37" s="301"/>
    </row>
    <row r="38" spans="1:21" s="195" customFormat="1" ht="12" customHeight="1" x14ac:dyDescent="0.25">
      <c r="A38" s="36" t="s">
        <v>136</v>
      </c>
      <c r="B38" s="159" cm="1">
        <f t="array" ref="B38">o_Zonweringreductie(B37,B8)</f>
        <v>1</v>
      </c>
      <c r="C38" s="301"/>
      <c r="D38" s="159" cm="1">
        <f t="array" ref="D38">o_Zonweringreductie(D37,B8)</f>
        <v>1</v>
      </c>
      <c r="E38" s="301"/>
      <c r="F38" s="159" cm="1">
        <f t="array" ref="F38">o_Zonweringreductie(F37,F8)</f>
        <v>1</v>
      </c>
      <c r="G38" s="301"/>
      <c r="H38" s="159" cm="1">
        <f t="array" ref="H38">o_Zonweringreductie(H37,F8)</f>
        <v>1</v>
      </c>
      <c r="I38" s="301"/>
      <c r="J38" s="159" cm="1">
        <f t="array" ref="J38">o_Zonweringreductie(J37,J8)</f>
        <v>1</v>
      </c>
      <c r="K38" s="301"/>
      <c r="L38" s="159" cm="1">
        <f t="array" ref="L38">o_Zonweringreductie(L37,J8)</f>
        <v>1</v>
      </c>
      <c r="M38" s="301"/>
      <c r="N38" s="159" cm="1">
        <f t="array" ref="N38">o_Zonweringreductie(N37,N8)</f>
        <v>1</v>
      </c>
      <c r="O38" s="301"/>
      <c r="P38" s="159" cm="1">
        <f t="array" ref="P38">o_Zonweringreductie(P37,N8)</f>
        <v>1</v>
      </c>
      <c r="Q38" s="301"/>
      <c r="R38" s="159" cm="1">
        <f t="array" ref="R38">o_Zonweringreductie(R37,R8)</f>
        <v>1</v>
      </c>
      <c r="S38" s="301"/>
      <c r="T38" s="159" cm="1">
        <f t="array" ref="T38">o_Zonweringreductie(T37,R8)</f>
        <v>1</v>
      </c>
      <c r="U38" s="301"/>
    </row>
    <row r="39" spans="1:21" s="195" customFormat="1" ht="12" customHeight="1" x14ac:dyDescent="0.25">
      <c r="A39" s="36" t="s">
        <v>137</v>
      </c>
      <c r="B39" s="159" cm="1">
        <f t="array" ref="B39">IF(B10="Nee",0,o_Isol_Bij_Tijdstip($B$52,B8,B11))</f>
        <v>0</v>
      </c>
      <c r="C39" s="301" t="s">
        <v>12</v>
      </c>
      <c r="D39" s="159" cm="1">
        <f t="array" ref="D39">IF(B10="Nee",0,o_Isol_Bij_Tijdstip($B$52,B8,B11))</f>
        <v>0</v>
      </c>
      <c r="E39" s="301" t="s">
        <v>12</v>
      </c>
      <c r="F39" s="159" cm="1">
        <f t="array" ref="F39">IF(F10="Nee",0,o_Isol_Bij_Tijdstip($B$52,F8,F11))</f>
        <v>0</v>
      </c>
      <c r="G39" s="301" t="s">
        <v>12</v>
      </c>
      <c r="H39" s="159" cm="1">
        <f t="array" ref="H39">IF(F10="Nee",0,o_Isol_Bij_Tijdstip($B$52,F8,F11))</f>
        <v>0</v>
      </c>
      <c r="I39" s="301" t="s">
        <v>12</v>
      </c>
      <c r="J39" s="159" cm="1">
        <f t="array" ref="J39">IF(J10="Nee",0,o_Isol_Bij_Tijdstip($B$52,J8,J11))</f>
        <v>0</v>
      </c>
      <c r="K39" s="301" t="s">
        <v>12</v>
      </c>
      <c r="L39" s="159" cm="1">
        <f t="array" ref="L39">IF(J10="Nee",0,o_Isol_Bij_Tijdstip($B$52,J8,J11))</f>
        <v>0</v>
      </c>
      <c r="M39" s="301" t="s">
        <v>12</v>
      </c>
      <c r="N39" s="159" cm="1">
        <f t="array" ref="N39">IF(N10="Nee",0,o_Isol_Bij_Tijdstip($B$52,N8,N11))</f>
        <v>0</v>
      </c>
      <c r="O39" s="301" t="s">
        <v>12</v>
      </c>
      <c r="P39" s="159" cm="1">
        <f t="array" ref="P39">IF(N10="Nee",0,o_Isol_Bij_Tijdstip($B$52,N8,N11))</f>
        <v>0</v>
      </c>
      <c r="Q39" s="301" t="s">
        <v>12</v>
      </c>
      <c r="R39" s="159" cm="1">
        <f t="array" ref="R39">IF(R10="Nee",0,o_Isol_Bij_Tijdstip($B$52,R8,R11))</f>
        <v>0</v>
      </c>
      <c r="S39" s="301" t="s">
        <v>12</v>
      </c>
      <c r="T39" s="159" cm="1">
        <f t="array" ref="T39">IF(R10="Nee",0,o_Isol_Bij_Tijdstip($B$52,R8,R11))</f>
        <v>0</v>
      </c>
      <c r="U39" s="301" t="s">
        <v>12</v>
      </c>
    </row>
    <row r="40" spans="1:21" s="195" customFormat="1" x14ac:dyDescent="0.2">
      <c r="A40" s="75"/>
      <c r="B40" s="303"/>
      <c r="C40" s="303"/>
      <c r="D40" s="303"/>
      <c r="E40" s="303"/>
      <c r="F40" s="303"/>
      <c r="G40" s="303"/>
      <c r="H40" s="303"/>
      <c r="I40" s="303"/>
      <c r="J40" s="303"/>
      <c r="K40" s="303"/>
      <c r="L40" s="303"/>
      <c r="M40" s="303"/>
      <c r="N40" s="303"/>
      <c r="O40" s="303"/>
      <c r="P40" s="303"/>
      <c r="Q40" s="303"/>
      <c r="R40" s="303"/>
      <c r="S40" s="303"/>
      <c r="T40" s="303"/>
      <c r="U40" s="303"/>
    </row>
    <row r="41" spans="1:21" s="195" customFormat="1" ht="12" customHeight="1" x14ac:dyDescent="0.25">
      <c r="A41" s="66" t="s">
        <v>138</v>
      </c>
      <c r="B41" s="308" t="e" cm="1">
        <f t="array" ref="B41">VALUE(o_Tijdstip_Isol_Max_Orientatie(B8,B11))</f>
        <v>#VALUE!</v>
      </c>
      <c r="C41" s="308"/>
      <c r="D41" s="240"/>
      <c r="E41" s="87"/>
      <c r="F41" s="308" cm="1">
        <f t="array" ref="F41">VALUE(o_Tijdstip_Isol_Max_Orientatie(F8,F11))</f>
        <v>0.375</v>
      </c>
      <c r="G41" s="308"/>
      <c r="H41" s="240"/>
      <c r="I41" s="87"/>
      <c r="J41" s="308" cm="1">
        <f t="array" ref="J41">VALUE(o_Tijdstip_Isol_Max_Orientatie(J8,J11))</f>
        <v>0.58333333333333337</v>
      </c>
      <c r="K41" s="308"/>
      <c r="L41" s="240"/>
      <c r="M41" s="87"/>
      <c r="N41" s="308" cm="1">
        <f t="array" ref="N41">VALUE(o_Tijdstip_Isol_Max_Orientatie(N8,N11))</f>
        <v>0.625</v>
      </c>
      <c r="O41" s="308"/>
      <c r="P41" s="240"/>
      <c r="Q41" s="87"/>
      <c r="R41" s="308" cm="1">
        <f t="array" ref="R41">VALUE(o_Tijdstip_Isol_Max_Orientatie(R8,R11))</f>
        <v>0.5</v>
      </c>
      <c r="S41" s="308"/>
      <c r="T41" s="240"/>
      <c r="U41" s="303"/>
    </row>
    <row r="42" spans="1:21" s="195" customFormat="1" ht="12" customHeight="1" x14ac:dyDescent="0.25">
      <c r="A42" s="66" t="s">
        <v>139</v>
      </c>
      <c r="B42" s="309" t="e" cm="1">
        <f t="array" ref="B42">o_maxTemp(o_Tijdstip_Isol_Max_Orientatie(B8,B11))</f>
        <v>#VALUE!</v>
      </c>
      <c r="C42" s="309"/>
      <c r="D42" s="309"/>
      <c r="E42" s="300" t="s">
        <v>2</v>
      </c>
      <c r="F42" s="309" cm="1">
        <f t="array" ref="F42">o_maxTemp(o_Tijdstip_Isol_Max_Orientatie(F8,F11))</f>
        <v>24.7</v>
      </c>
      <c r="G42" s="309"/>
      <c r="H42" s="309"/>
      <c r="I42" s="300" t="s">
        <v>2</v>
      </c>
      <c r="J42" s="309" cm="1">
        <f t="array" ref="J42">o_maxTemp(o_Tijdstip_Isol_Max_Orientatie(J8,J11))</f>
        <v>29.9</v>
      </c>
      <c r="K42" s="309"/>
      <c r="L42" s="309"/>
      <c r="M42" s="300" t="s">
        <v>2</v>
      </c>
      <c r="N42" s="309" cm="1">
        <f t="array" ref="N42">o_maxTemp(o_Tijdstip_Isol_Max_Orientatie(N8,N11))</f>
        <v>29.8</v>
      </c>
      <c r="O42" s="309"/>
      <c r="P42" s="309"/>
      <c r="Q42" s="300" t="s">
        <v>2</v>
      </c>
      <c r="R42" s="309" cm="1">
        <f t="array" ref="R42">o_maxTemp(o_Tijdstip_Isol_Max_Orientatie(R8,R11))</f>
        <v>28.9</v>
      </c>
      <c r="S42" s="309"/>
      <c r="T42" s="309"/>
      <c r="U42" s="303"/>
    </row>
    <row r="43" spans="1:21" s="195" customFormat="1" ht="12" customHeight="1" x14ac:dyDescent="0.2">
      <c r="A43" s="75"/>
      <c r="B43" s="75"/>
      <c r="C43" s="75"/>
      <c r="D43" s="75"/>
      <c r="E43" s="35"/>
      <c r="F43" s="75"/>
      <c r="G43" s="75"/>
      <c r="H43" s="75"/>
      <c r="I43" s="75"/>
      <c r="J43" s="75"/>
      <c r="K43" s="75"/>
      <c r="L43" s="75"/>
      <c r="M43" s="75"/>
      <c r="N43" s="75"/>
      <c r="O43" s="75"/>
      <c r="P43" s="75"/>
      <c r="Q43" s="75"/>
      <c r="R43" s="75"/>
      <c r="S43" s="75"/>
      <c r="T43" s="84"/>
      <c r="U43" s="84"/>
    </row>
    <row r="44" spans="1:21" s="195" customFormat="1" ht="12" hidden="1" customHeight="1" x14ac:dyDescent="0.2">
      <c r="A44" s="92" t="s">
        <v>169</v>
      </c>
      <c r="B44" s="96">
        <f>IF(B10="Ja",B18+D18,0)</f>
        <v>0</v>
      </c>
      <c r="C44" s="35" t="s">
        <v>0</v>
      </c>
      <c r="D44" s="75"/>
      <c r="E44" s="35"/>
      <c r="F44" s="96">
        <f>IF(F10="Ja",F18+H18,0)</f>
        <v>0</v>
      </c>
      <c r="G44" s="35" t="s">
        <v>0</v>
      </c>
      <c r="H44" s="75"/>
      <c r="I44" s="75"/>
      <c r="J44" s="96">
        <f>IF(J10="Ja",J18+L18,0)</f>
        <v>0</v>
      </c>
      <c r="K44" s="35" t="s">
        <v>0</v>
      </c>
      <c r="L44" s="75"/>
      <c r="M44" s="75"/>
      <c r="N44" s="96">
        <f>IF(N10="Ja",N18+P18,0)</f>
        <v>0</v>
      </c>
      <c r="O44" s="35" t="s">
        <v>0</v>
      </c>
      <c r="P44" s="75"/>
      <c r="Q44" s="75"/>
      <c r="R44" s="96">
        <f>IF(R10="Ja",R18+T18,0)</f>
        <v>0</v>
      </c>
      <c r="S44" s="35" t="s">
        <v>0</v>
      </c>
      <c r="T44" s="84"/>
      <c r="U44" s="84"/>
    </row>
    <row r="45" spans="1:21" s="195" customFormat="1" ht="12" hidden="1" customHeight="1" x14ac:dyDescent="0.2">
      <c r="A45" s="92" t="s">
        <v>126</v>
      </c>
      <c r="B45" s="93" t="b">
        <f>IF(B10="Ja",IF(B8="Noord",FALSE,TRUE),FALSE)</f>
        <v>0</v>
      </c>
      <c r="C45" s="35"/>
      <c r="D45" s="35"/>
      <c r="E45" s="35"/>
      <c r="F45" s="94" t="b">
        <f>IF(F10="Ja",IF(F8="Noord",FALSE,TRUE),FALSE)</f>
        <v>0</v>
      </c>
      <c r="G45" s="75"/>
      <c r="H45" s="75"/>
      <c r="I45" s="75"/>
      <c r="J45" s="94" t="b">
        <f>IF(J10="Ja",IF(J8="Noord",FALSE,TRUE),FALSE)</f>
        <v>0</v>
      </c>
      <c r="K45" s="75"/>
      <c r="L45" s="75"/>
      <c r="M45" s="75"/>
      <c r="N45" s="94" t="b">
        <f>IF(N10="Ja",IF(N8="Noord",FALSE,TRUE),FALSE)</f>
        <v>0</v>
      </c>
      <c r="O45" s="75"/>
      <c r="P45" s="75"/>
      <c r="Q45" s="75"/>
      <c r="R45" s="94" t="b">
        <f>IF(R10="Ja",IF(R8="Noord",FALSE,TRUE),FALSE)</f>
        <v>0</v>
      </c>
      <c r="S45" s="75"/>
      <c r="T45" s="84"/>
      <c r="U45" s="84"/>
    </row>
    <row r="46" spans="1:21" s="195" customFormat="1" ht="12" hidden="1" customHeight="1" x14ac:dyDescent="0.2">
      <c r="A46" s="92" t="s">
        <v>109</v>
      </c>
      <c r="B46" s="95" t="b">
        <f>IF(AND(B45=TRUE,COUNTIF($B$45:$R$45,TRUE)=1),TRUE,FALSE)</f>
        <v>0</v>
      </c>
      <c r="C46" s="35"/>
      <c r="D46" s="75"/>
      <c r="E46" s="35"/>
      <c r="F46" s="95" t="b">
        <f>IF(AND(F45=TRUE,COUNTIF($B$45:$R$45,TRUE)=1),TRUE,FALSE)</f>
        <v>0</v>
      </c>
      <c r="G46" s="75"/>
      <c r="H46" s="75"/>
      <c r="I46" s="75"/>
      <c r="J46" s="95" t="b">
        <f>IF(AND(J45=TRUE,COUNTIF($B$45:$R$45,TRUE)=1),TRUE,FALSE)</f>
        <v>0</v>
      </c>
      <c r="K46" s="75"/>
      <c r="L46" s="75"/>
      <c r="M46" s="75"/>
      <c r="N46" s="95" t="b">
        <f>IF(AND(N45=TRUE,COUNTIF($B$45:$R$45,TRUE)=1),TRUE,FALSE)</f>
        <v>0</v>
      </c>
      <c r="O46" s="75"/>
      <c r="P46" s="75"/>
      <c r="Q46" s="75"/>
      <c r="R46" s="95" t="b">
        <f>IF(AND(R45=TRUE,COUNTIF($B$45:$R$45,TRUE)=1),TRUE,FALSE)</f>
        <v>0</v>
      </c>
      <c r="S46" s="75"/>
      <c r="T46" s="84"/>
      <c r="U46" s="84"/>
    </row>
    <row r="47" spans="1:21" s="195" customFormat="1" ht="12" hidden="1" customHeight="1" x14ac:dyDescent="0.2">
      <c r="A47" s="92" t="s">
        <v>152</v>
      </c>
      <c r="B47" s="96">
        <f>IF(B8&lt;&gt;"Noord",B44,0)</f>
        <v>0</v>
      </c>
      <c r="C47" s="35" t="s">
        <v>0</v>
      </c>
      <c r="D47" s="75"/>
      <c r="E47" s="35"/>
      <c r="F47" s="96">
        <f>IF(F8&lt;&gt;"Noord",F44,0)</f>
        <v>0</v>
      </c>
      <c r="G47" s="35" t="s">
        <v>0</v>
      </c>
      <c r="H47" s="75"/>
      <c r="I47" s="75"/>
      <c r="J47" s="96">
        <f>IF(J8&lt;&gt;"Noord",J44,0)</f>
        <v>0</v>
      </c>
      <c r="K47" s="35" t="s">
        <v>0</v>
      </c>
      <c r="L47" s="75"/>
      <c r="M47" s="75"/>
      <c r="N47" s="96">
        <f>IF(N8&lt;&gt;"Noord",N44,0)</f>
        <v>0</v>
      </c>
      <c r="O47" s="35" t="s">
        <v>0</v>
      </c>
      <c r="P47" s="75"/>
      <c r="Q47" s="75"/>
      <c r="R47" s="96">
        <f>R44</f>
        <v>0</v>
      </c>
      <c r="S47" s="35" t="s">
        <v>0</v>
      </c>
      <c r="T47" s="84"/>
      <c r="U47" s="84"/>
    </row>
    <row r="48" spans="1:21" s="195" customFormat="1" ht="12" hidden="1" customHeight="1" x14ac:dyDescent="0.2">
      <c r="A48" s="92" t="s">
        <v>153</v>
      </c>
      <c r="B48" s="97" t="b">
        <f>IF(AND(B45,B47=MAX($B$47:$R$47)),TRUE,FALSE)</f>
        <v>0</v>
      </c>
      <c r="C48" s="35"/>
      <c r="D48" s="75"/>
      <c r="E48" s="35"/>
      <c r="F48" s="97" t="b">
        <f>IF(AND(F45,F47=MAX($B$47:$R$47)),TRUE,FALSE)</f>
        <v>0</v>
      </c>
      <c r="G48" s="75"/>
      <c r="H48" s="75"/>
      <c r="I48" s="75"/>
      <c r="J48" s="97" t="b">
        <f>IF(AND(J45,J47=MAX($B$47:$R$47)),TRUE,FALSE)</f>
        <v>0</v>
      </c>
      <c r="K48" s="75"/>
      <c r="L48" s="75"/>
      <c r="M48" s="75"/>
      <c r="N48" s="97" t="b">
        <f>IF(AND(N45,N47=MAX($B$47:$R$47)),TRUE,FALSE)</f>
        <v>0</v>
      </c>
      <c r="O48" s="75"/>
      <c r="P48" s="75"/>
      <c r="Q48" s="75"/>
      <c r="R48" s="97" t="b">
        <f>IF(AND(R45,R47=MAX($B$47:$R$47)),TRUE,FALSE)</f>
        <v>0</v>
      </c>
      <c r="S48" s="75"/>
      <c r="T48" s="84"/>
      <c r="U48" s="84"/>
    </row>
    <row r="49" spans="1:21" s="195" customFormat="1" ht="12" hidden="1" customHeight="1" x14ac:dyDescent="0.2">
      <c r="A49" s="92" t="s">
        <v>125</v>
      </c>
      <c r="B49" s="98" t="e">
        <f>IF(AND(B11&lt;90,B15&gt;3*(B18+D18),'Projectgegevens en Resultaten'!#REF!&lt;65),TRUE,FALSE)</f>
        <v>#REF!</v>
      </c>
      <c r="C49" s="35"/>
      <c r="D49" s="35"/>
      <c r="E49" s="35"/>
      <c r="F49" s="98" t="e">
        <f>IF(AND(F11&lt;90,F15&gt;3*(F18+H18),'Projectgegevens en Resultaten'!#REF!&lt;65),TRUE,FALSE)</f>
        <v>#REF!</v>
      </c>
      <c r="G49" s="75"/>
      <c r="H49" s="75"/>
      <c r="I49" s="75"/>
      <c r="J49" s="98" t="e">
        <f>IF(AND(J11&lt;90,J15&gt;3*(J18+L18),'Projectgegevens en Resultaten'!#REF!&lt;65),TRUE,FALSE)</f>
        <v>#REF!</v>
      </c>
      <c r="K49" s="75"/>
      <c r="L49" s="75"/>
      <c r="M49" s="75"/>
      <c r="N49" s="98" t="e">
        <f>IF(AND(N11&lt;90,N15&gt;3*(N18+P18),'Projectgegevens en Resultaten'!#REF!&lt;65),TRUE,FALSE)</f>
        <v>#REF!</v>
      </c>
      <c r="O49" s="75"/>
      <c r="P49" s="75"/>
      <c r="Q49" s="75"/>
      <c r="R49" s="98" t="e">
        <f>IF(AND(R11&lt;90,R15&gt;3*(R18+T18),'Projectgegevens en Resultaten'!#REF!&lt;65),TRUE,FALSE)</f>
        <v>#REF!</v>
      </c>
      <c r="S49" s="75"/>
      <c r="T49" s="84"/>
      <c r="U49" s="84"/>
    </row>
    <row r="50" spans="1:21" s="195" customFormat="1" ht="12" hidden="1" customHeight="1" x14ac:dyDescent="0.2">
      <c r="A50" s="92" t="s">
        <v>154</v>
      </c>
      <c r="B50" s="98" t="b">
        <f>IF(COUNTIF($B$49:$R$49,TRUE)&gt;0,TRUE,FALSE)</f>
        <v>0</v>
      </c>
      <c r="C50" s="35"/>
      <c r="D50" s="35"/>
      <c r="E50" s="35"/>
      <c r="F50" s="98" t="b">
        <f>IF(COUNTIF($B$49:$R$49,TRUE)&gt;0,TRUE,FALSE)</f>
        <v>0</v>
      </c>
      <c r="G50" s="75"/>
      <c r="H50" s="75"/>
      <c r="I50" s="75"/>
      <c r="J50" s="98" t="b">
        <f>IF(COUNTIF($B$49:$R$49,TRUE)&gt;0,TRUE,FALSE)</f>
        <v>0</v>
      </c>
      <c r="K50" s="75"/>
      <c r="L50" s="75"/>
      <c r="M50" s="75"/>
      <c r="N50" s="98" t="b">
        <f>IF(COUNTIF($B$49:$R$49,TRUE)&gt;0,TRUE,FALSE)</f>
        <v>0</v>
      </c>
      <c r="O50" s="75"/>
      <c r="P50" s="75"/>
      <c r="Q50" s="75"/>
      <c r="R50" s="98" t="b">
        <f>IF(COUNTIF($B$49:$R$49,TRUE)&gt;0,TRUE,FALSE)</f>
        <v>0</v>
      </c>
      <c r="S50" s="75"/>
      <c r="T50" s="84"/>
      <c r="U50" s="84"/>
    </row>
    <row r="51" spans="1:21" s="195" customFormat="1" ht="12" hidden="1" customHeight="1" x14ac:dyDescent="0.2">
      <c r="A51" s="92" t="s">
        <v>151</v>
      </c>
      <c r="B51" s="99" t="e">
        <f>IF(OR(B46,AND(B45,B50,B49),AND(B45,B48,NOT(B50))),B41)</f>
        <v>#REF!</v>
      </c>
      <c r="C51" s="35"/>
      <c r="D51" s="35"/>
      <c r="E51" s="35"/>
      <c r="F51" s="99" t="e">
        <f>IF(OR(F46,AND(F45,F50,F49),AND(F45,F48,NOT(F50))),F41)</f>
        <v>#REF!</v>
      </c>
      <c r="G51" s="75"/>
      <c r="H51" s="35"/>
      <c r="I51" s="75"/>
      <c r="J51" s="99" t="e">
        <f>IF(OR(J46,AND(J45,J50,J49),AND(J45,J48,NOT(J50))),J41)</f>
        <v>#REF!</v>
      </c>
      <c r="K51" s="75"/>
      <c r="L51" s="35"/>
      <c r="M51" s="75"/>
      <c r="N51" s="99" t="e">
        <f>IF(OR(N46,AND(N45,N50,N49),AND(N45,N48,NOT(N50))),N41)</f>
        <v>#REF!</v>
      </c>
      <c r="O51" s="75"/>
      <c r="P51" s="75"/>
      <c r="Q51" s="75"/>
      <c r="R51" s="99" t="e">
        <f>IF(OR(R46,AND(R45,R50,R49),AND(R45,R48,NOT(R50))),R41)</f>
        <v>#REF!</v>
      </c>
      <c r="S51" s="75"/>
      <c r="T51" s="84"/>
      <c r="U51" s="84"/>
    </row>
    <row r="52" spans="1:21" s="195" customFormat="1" ht="12" customHeight="1" x14ac:dyDescent="0.25">
      <c r="A52" s="39" t="s">
        <v>140</v>
      </c>
      <c r="B52" s="100" t="str">
        <f>IFERROR(B88,"geen glas ingevoerd")</f>
        <v>Geen glas aanwezig</v>
      </c>
      <c r="C52" s="35"/>
      <c r="D52" s="35"/>
      <c r="E52" s="35"/>
      <c r="F52" s="75"/>
      <c r="G52" s="75"/>
      <c r="H52" s="75"/>
      <c r="I52" s="75"/>
      <c r="J52" s="75"/>
      <c r="K52" s="75"/>
      <c r="L52" s="75"/>
      <c r="M52" s="75"/>
      <c r="N52" s="75"/>
      <c r="O52" s="75"/>
      <c r="P52" s="75"/>
      <c r="Q52" s="75"/>
      <c r="R52" s="75"/>
      <c r="S52" s="75"/>
      <c r="T52" s="84"/>
      <c r="U52" s="84"/>
    </row>
    <row r="53" spans="1:21" s="195" customFormat="1" ht="12" customHeight="1" x14ac:dyDescent="0.25">
      <c r="A53" s="66" t="s">
        <v>139</v>
      </c>
      <c r="B53" s="98" t="str">
        <f>IF(MAX(T77:T86)=0,"",_xlfn.XLOOKUP(MAX(T77:T86),T77:T86,$D$77:$D$86,"nvt"))</f>
        <v/>
      </c>
      <c r="C53" s="71" t="s">
        <v>2</v>
      </c>
      <c r="D53" s="35"/>
      <c r="E53" s="35"/>
      <c r="F53" s="75"/>
      <c r="G53" s="75"/>
      <c r="H53" s="75"/>
      <c r="I53" s="75"/>
      <c r="J53" s="75"/>
      <c r="K53" s="75"/>
      <c r="L53" s="75"/>
      <c r="M53" s="75"/>
      <c r="N53" s="75"/>
      <c r="O53" s="75"/>
      <c r="P53" s="75"/>
      <c r="Q53" s="75"/>
      <c r="R53" s="75"/>
      <c r="S53" s="75"/>
      <c r="T53" s="84"/>
      <c r="U53" s="84"/>
    </row>
    <row r="54" spans="1:21" s="195" customFormat="1" ht="12" customHeight="1" x14ac:dyDescent="0.2">
      <c r="A54" s="75"/>
      <c r="B54" s="75"/>
      <c r="C54" s="75"/>
      <c r="D54" s="75"/>
      <c r="E54" s="75"/>
      <c r="F54" s="75"/>
      <c r="G54" s="75"/>
      <c r="H54" s="75"/>
      <c r="I54" s="75"/>
      <c r="J54" s="75"/>
      <c r="K54" s="75"/>
      <c r="L54" s="75"/>
      <c r="M54" s="75"/>
      <c r="N54" s="75"/>
      <c r="O54" s="75"/>
      <c r="P54" s="75"/>
      <c r="Q54" s="75"/>
      <c r="R54" s="75"/>
      <c r="S54" s="75"/>
      <c r="T54" s="84"/>
      <c r="U54" s="84"/>
    </row>
    <row r="55" spans="1:21" s="195" customFormat="1" ht="12" customHeight="1" x14ac:dyDescent="0.25">
      <c r="A55" s="36" t="s">
        <v>260</v>
      </c>
      <c r="B55" s="248">
        <f>IF(B10="Nee",0,B16*'Projectgegevens en Resultaten'!$B$16)</f>
        <v>0</v>
      </c>
      <c r="C55" s="248"/>
      <c r="D55" s="249"/>
      <c r="E55" s="40" t="s">
        <v>11</v>
      </c>
      <c r="F55" s="248">
        <f>IF(F10="Nee",0,F16*'Projectgegevens en Resultaten'!$B$16)</f>
        <v>0</v>
      </c>
      <c r="G55" s="248"/>
      <c r="H55" s="249"/>
      <c r="I55" s="40" t="s">
        <v>11</v>
      </c>
      <c r="J55" s="248">
        <f>IF(J10="Nee",0,J16*'Projectgegevens en Resultaten'!$B$16)</f>
        <v>0</v>
      </c>
      <c r="K55" s="248"/>
      <c r="L55" s="249"/>
      <c r="M55" s="40" t="s">
        <v>11</v>
      </c>
      <c r="N55" s="248">
        <f>IF(N10="Nee",0,N16*'Projectgegevens en Resultaten'!$B$16)</f>
        <v>0</v>
      </c>
      <c r="O55" s="248"/>
      <c r="P55" s="249"/>
      <c r="Q55" s="40" t="s">
        <v>11</v>
      </c>
      <c r="R55" s="248">
        <f>IF(R10="Nee",0,R16*'Projectgegevens en Resultaten'!$B$16)</f>
        <v>0</v>
      </c>
      <c r="S55" s="248"/>
      <c r="T55" s="249"/>
      <c r="U55" s="40" t="s">
        <v>11</v>
      </c>
    </row>
    <row r="56" spans="1:21" s="195" customFormat="1" ht="12" customHeight="1" x14ac:dyDescent="0.25">
      <c r="A56" s="72" t="s">
        <v>142</v>
      </c>
      <c r="B56" s="242">
        <f>(0.75*B18*FLOOR(B20,0.05)*0.9*B35*B38*B39)+(0.75*D18*FLOOR(D20,0.05)*0.9*D35*D38*D39)</f>
        <v>0</v>
      </c>
      <c r="C56" s="242"/>
      <c r="D56" s="243"/>
      <c r="E56" s="40" t="s">
        <v>11</v>
      </c>
      <c r="F56" s="242">
        <f>(0.75*F18*FLOOR(F20,0.05)*0.9*F35*F38*F39)+(0.75*H18*FLOOR(H20,0.05)*0.9*H35*H38*H39)</f>
        <v>0</v>
      </c>
      <c r="G56" s="242"/>
      <c r="H56" s="243"/>
      <c r="I56" s="40" t="s">
        <v>11</v>
      </c>
      <c r="J56" s="242">
        <f>(0.75*J18*FLOOR(J20,0.05)*0.9*J35*J38*J39)+(0.75*L18*FLOOR(L20,0.05)*0.9*L35*L38*L39)</f>
        <v>0</v>
      </c>
      <c r="K56" s="242"/>
      <c r="L56" s="243"/>
      <c r="M56" s="40" t="s">
        <v>11</v>
      </c>
      <c r="N56" s="242">
        <f>(0.75*N18*FLOOR(N20,0.05)*0.9*N35*N38*N39)+(0.75*P18*FLOOR(P20,0.05)*0.9*P35*P38*P39)</f>
        <v>0</v>
      </c>
      <c r="O56" s="242"/>
      <c r="P56" s="243"/>
      <c r="Q56" s="40" t="s">
        <v>11</v>
      </c>
      <c r="R56" s="242">
        <f>(0.75*R18*FLOOR(R20,0.05)*0.9*R35*R38*R39)+(0.75*T18*FLOOR(T20,0.05)*0.9*T35*T38*T39)</f>
        <v>0</v>
      </c>
      <c r="S56" s="242"/>
      <c r="T56" s="243"/>
      <c r="U56" s="40" t="s">
        <v>11</v>
      </c>
    </row>
    <row r="57" spans="1:21" s="195" customFormat="1" ht="12" customHeight="1" x14ac:dyDescent="0.25">
      <c r="A57" s="72" t="s">
        <v>143</v>
      </c>
      <c r="B57" s="248">
        <f>IF(B10="Nee",0,IFERROR(B18*B19*($B$53-24),0)+IFERROR(D18*D19*($B$53-24),0))</f>
        <v>0</v>
      </c>
      <c r="C57" s="248"/>
      <c r="D57" s="249"/>
      <c r="E57" s="40" t="s">
        <v>11</v>
      </c>
      <c r="F57" s="248">
        <f>IF(F10="Nee",0,IFERROR(F18*F19*($B$53-24),0)+IFERROR(H18*H19*($B$53-24),0))</f>
        <v>0</v>
      </c>
      <c r="G57" s="248"/>
      <c r="H57" s="249"/>
      <c r="I57" s="40" t="s">
        <v>11</v>
      </c>
      <c r="J57" s="248">
        <f>IF(J10="Nee",0,IFERROR(J18*J19*($B$53-24),0)+IFERROR(L18*L19*($B$53-24),0))</f>
        <v>0</v>
      </c>
      <c r="K57" s="248"/>
      <c r="L57" s="249"/>
      <c r="M57" s="40" t="s">
        <v>11</v>
      </c>
      <c r="N57" s="248">
        <f>IF(N10="Nee",0,IFERROR(N18*N19*($B$53-24),0)+IFERROR(P18*P19*($B$53-24),0))</f>
        <v>0</v>
      </c>
      <c r="O57" s="248"/>
      <c r="P57" s="249"/>
      <c r="Q57" s="40" t="s">
        <v>11</v>
      </c>
      <c r="R57" s="248">
        <f>IF(R10="Nee",0,IFERROR(R18*R19*($B$53-24),0)+IFERROR(T18*T19*($B$53-24),0))</f>
        <v>0</v>
      </c>
      <c r="S57" s="248"/>
      <c r="T57" s="249"/>
      <c r="U57" s="40" t="s">
        <v>11</v>
      </c>
    </row>
    <row r="58" spans="1:21" s="195" customFormat="1" ht="12" customHeight="1" x14ac:dyDescent="0.2">
      <c r="A58" s="66" t="s">
        <v>100</v>
      </c>
      <c r="B58" s="246">
        <f>SUM(B55:D57)</f>
        <v>0</v>
      </c>
      <c r="C58" s="246"/>
      <c r="D58" s="247"/>
      <c r="E58" s="40" t="s">
        <v>11</v>
      </c>
      <c r="F58" s="246">
        <f>SUM(F55:H57)</f>
        <v>0</v>
      </c>
      <c r="G58" s="246"/>
      <c r="H58" s="247"/>
      <c r="I58" s="41" t="s">
        <v>11</v>
      </c>
      <c r="J58" s="246">
        <f>SUM(J55:L57)</f>
        <v>0</v>
      </c>
      <c r="K58" s="246"/>
      <c r="L58" s="247"/>
      <c r="M58" s="41" t="s">
        <v>11</v>
      </c>
      <c r="N58" s="246">
        <f>SUM(N55:P57)</f>
        <v>0</v>
      </c>
      <c r="O58" s="246"/>
      <c r="P58" s="247"/>
      <c r="Q58" s="41" t="s">
        <v>11</v>
      </c>
      <c r="R58" s="250">
        <f>SUM(R55:R57)</f>
        <v>0</v>
      </c>
      <c r="S58" s="250"/>
      <c r="T58" s="250"/>
      <c r="U58" s="41" t="s">
        <v>11</v>
      </c>
    </row>
    <row r="59" spans="1:21" s="195" customFormat="1" ht="12" customHeight="1" x14ac:dyDescent="0.2">
      <c r="A59" s="75"/>
      <c r="B59" s="76"/>
      <c r="C59" s="76"/>
      <c r="D59" s="76"/>
      <c r="E59" s="75"/>
      <c r="F59" s="75"/>
      <c r="G59" s="75"/>
      <c r="H59" s="75"/>
      <c r="I59" s="75"/>
      <c r="J59" s="75"/>
      <c r="K59" s="75"/>
      <c r="L59" s="75"/>
      <c r="M59" s="75"/>
      <c r="N59" s="75"/>
      <c r="O59" s="75"/>
      <c r="P59" s="75"/>
      <c r="Q59" s="75"/>
      <c r="R59" s="75"/>
      <c r="S59" s="75"/>
      <c r="T59" s="75"/>
      <c r="U59" s="84"/>
    </row>
    <row r="60" spans="1:21" s="195" customFormat="1" ht="12" customHeight="1" x14ac:dyDescent="0.25">
      <c r="A60" s="36" t="s">
        <v>144</v>
      </c>
      <c r="B60" s="242">
        <f>IF(B5=0,0,IF(B4="Woonvertrek",2*'Projectgegevens en Resultaten'!$B$33*B5,'Projectgegevens en Resultaten'!$B$33*B5))</f>
        <v>0</v>
      </c>
      <c r="C60" s="242"/>
      <c r="D60" s="243"/>
      <c r="E60" s="40" t="s">
        <v>11</v>
      </c>
      <c r="F60" s="75"/>
      <c r="G60" s="75"/>
      <c r="H60" s="75"/>
      <c r="I60" s="75"/>
      <c r="J60" s="75"/>
      <c r="K60" s="75"/>
      <c r="L60" s="75"/>
      <c r="M60" s="75"/>
      <c r="N60" s="75"/>
      <c r="O60" s="75"/>
      <c r="P60" s="75"/>
      <c r="Q60" s="75"/>
      <c r="R60" s="65"/>
      <c r="S60" s="35"/>
      <c r="T60" s="75"/>
      <c r="U60" s="84"/>
    </row>
    <row r="61" spans="1:21" s="195" customFormat="1" ht="12" customHeight="1" x14ac:dyDescent="0.25">
      <c r="A61" s="36" t="s">
        <v>145</v>
      </c>
      <c r="B61" s="244">
        <f>IFERROR(MAX((SUM('Projectgegevens en Resultaten'!$B$21:$B$23)/3600*1.205*1005*(B53-24))/SUM('Projectgegevens en Resultaten'!$B$40:$T$40)*B5,0),0)</f>
        <v>0</v>
      </c>
      <c r="C61" s="244">
        <f>IFERROR(MAX(SUM(C57:C59)/3600*1.205*1005*(C60-24),0),0)</f>
        <v>0</v>
      </c>
      <c r="D61" s="245">
        <f>IFERROR(MAX(SUM(D57:D59)/3600*1.205*1005*(D60-24),0),0)</f>
        <v>0</v>
      </c>
      <c r="E61" s="40" t="s">
        <v>11</v>
      </c>
      <c r="F61" s="75"/>
      <c r="G61" s="75"/>
      <c r="H61" s="75"/>
      <c r="I61" s="75"/>
      <c r="J61" s="75"/>
      <c r="K61" s="75"/>
      <c r="L61" s="75"/>
      <c r="M61" s="75"/>
      <c r="N61" s="75"/>
      <c r="O61" s="75"/>
      <c r="P61" s="75"/>
      <c r="Q61" s="75"/>
      <c r="R61" s="65"/>
      <c r="S61" s="35"/>
      <c r="T61" s="75"/>
      <c r="U61" s="84"/>
    </row>
    <row r="62" spans="1:21" s="195" customFormat="1" ht="12" customHeight="1" x14ac:dyDescent="0.2">
      <c r="A62" s="75"/>
      <c r="B62" s="76"/>
      <c r="C62" s="76"/>
      <c r="D62" s="76"/>
      <c r="E62" s="75"/>
      <c r="F62" s="75"/>
      <c r="G62" s="75"/>
      <c r="H62" s="75"/>
      <c r="I62" s="75"/>
      <c r="J62" s="75"/>
      <c r="K62" s="75"/>
      <c r="L62" s="75"/>
      <c r="M62" s="75"/>
      <c r="N62" s="75"/>
      <c r="O62" s="75"/>
      <c r="P62" s="75"/>
      <c r="Q62" s="75"/>
      <c r="R62" s="75"/>
      <c r="S62" s="75"/>
      <c r="T62" s="75"/>
      <c r="U62" s="84"/>
    </row>
    <row r="63" spans="1:21" s="195" customFormat="1" ht="12" customHeight="1" x14ac:dyDescent="0.2">
      <c r="A63" s="72" t="s">
        <v>167</v>
      </c>
      <c r="B63" s="242">
        <f>IFERROR(SUM(B58:T58)+B60+B61,0)</f>
        <v>0</v>
      </c>
      <c r="C63" s="242"/>
      <c r="D63" s="243"/>
      <c r="E63" s="40" t="s">
        <v>11</v>
      </c>
      <c r="F63" s="35"/>
      <c r="G63" s="35"/>
      <c r="H63" s="35"/>
      <c r="I63" s="35"/>
      <c r="J63" s="35"/>
      <c r="K63" s="35"/>
      <c r="L63" s="35"/>
      <c r="M63" s="35"/>
      <c r="N63" s="35"/>
      <c r="O63" s="35"/>
      <c r="P63" s="35"/>
      <c r="Q63" s="35"/>
      <c r="R63" s="35"/>
      <c r="S63" s="35"/>
      <c r="T63" s="75"/>
      <c r="U63" s="84"/>
    </row>
    <row r="64" spans="1:21" s="195" customFormat="1" ht="12" customHeight="1" x14ac:dyDescent="0.2">
      <c r="A64" s="72" t="s">
        <v>99</v>
      </c>
      <c r="B64" s="246">
        <f>IFERROR(B63/B5,0)</f>
        <v>0</v>
      </c>
      <c r="C64" s="246"/>
      <c r="D64" s="247"/>
      <c r="E64" s="40" t="s">
        <v>12</v>
      </c>
      <c r="F64" s="35"/>
      <c r="G64" s="35"/>
      <c r="H64" s="35"/>
      <c r="I64" s="35"/>
      <c r="J64" s="35"/>
      <c r="K64" s="35"/>
      <c r="L64" s="35"/>
      <c r="M64" s="35"/>
      <c r="N64" s="35"/>
      <c r="O64" s="35"/>
      <c r="P64" s="35"/>
      <c r="Q64" s="35"/>
      <c r="R64" s="35"/>
      <c r="S64" s="35"/>
      <c r="T64" s="75"/>
      <c r="U64" s="84"/>
    </row>
    <row r="65" spans="1:21" s="195" customFormat="1" ht="12" customHeight="1" x14ac:dyDescent="0.2">
      <c r="A65" s="75"/>
      <c r="B65" s="75"/>
      <c r="C65" s="75"/>
      <c r="D65" s="75"/>
      <c r="E65" s="75"/>
      <c r="F65" s="75"/>
      <c r="G65" s="75"/>
      <c r="H65" s="75"/>
      <c r="I65" s="75"/>
      <c r="J65" s="75"/>
      <c r="K65" s="75"/>
      <c r="L65" s="75"/>
      <c r="M65" s="75"/>
      <c r="N65" s="75"/>
      <c r="O65" s="75"/>
      <c r="P65" s="75"/>
      <c r="Q65" s="75"/>
      <c r="R65" s="75"/>
      <c r="S65" s="75"/>
      <c r="T65" s="75"/>
      <c r="U65" s="84"/>
    </row>
    <row r="70" spans="1:21" hidden="1" x14ac:dyDescent="0.2"/>
    <row r="71" spans="1:21" ht="15" hidden="1" customHeight="1" x14ac:dyDescent="0.2">
      <c r="A71" s="236" t="s">
        <v>251</v>
      </c>
      <c r="B71" s="236"/>
      <c r="C71" s="236"/>
      <c r="D71" s="236"/>
      <c r="E71" s="236"/>
      <c r="F71" s="236"/>
      <c r="G71" s="236"/>
      <c r="H71" s="236"/>
      <c r="I71" s="236"/>
      <c r="J71" s="236"/>
      <c r="K71" s="236"/>
      <c r="L71" s="236"/>
      <c r="M71" s="236"/>
      <c r="N71" s="236"/>
      <c r="O71" s="236"/>
      <c r="P71" s="236"/>
      <c r="Q71" s="236"/>
      <c r="R71" s="236"/>
      <c r="S71" s="236"/>
      <c r="T71" s="236"/>
      <c r="U71" s="236"/>
    </row>
    <row r="72" spans="1:21" ht="15" hidden="1" customHeight="1" x14ac:dyDescent="0.2">
      <c r="A72" s="236"/>
      <c r="B72" s="236"/>
      <c r="C72" s="236"/>
      <c r="D72" s="236"/>
      <c r="E72" s="236"/>
      <c r="F72" s="236"/>
      <c r="G72" s="236"/>
      <c r="H72" s="236"/>
      <c r="I72" s="236"/>
      <c r="J72" s="236"/>
      <c r="K72" s="236"/>
      <c r="L72" s="236"/>
      <c r="M72" s="236"/>
      <c r="N72" s="236"/>
      <c r="O72" s="236"/>
      <c r="P72" s="236"/>
      <c r="Q72" s="236"/>
      <c r="R72" s="236"/>
      <c r="S72" s="236"/>
      <c r="T72" s="236"/>
      <c r="U72" s="236"/>
    </row>
    <row r="73" spans="1:21" hidden="1" x14ac:dyDescent="0.2">
      <c r="A73" s="196" t="s">
        <v>249</v>
      </c>
      <c r="B73" s="197" cm="1">
        <f t="array" ref="B73">IF(B$10="Nee",0,o_Isol_Max_Orientatie(B8,B11))</f>
        <v>0</v>
      </c>
      <c r="C73" s="198" t="s">
        <v>12</v>
      </c>
      <c r="D73" s="198"/>
      <c r="E73" s="198"/>
      <c r="F73" s="197" cm="1">
        <f t="array" ref="F73">IF(F$10="Nee",0,o_Isol_Max_Orientatie(F8,F11))</f>
        <v>0</v>
      </c>
      <c r="G73" s="198" t="s">
        <v>12</v>
      </c>
      <c r="H73" s="198"/>
      <c r="I73" s="198"/>
      <c r="J73" s="197" cm="1">
        <f t="array" ref="J73">IF(J$10="Nee",0,o_Isol_Max_Orientatie(J8,J11))</f>
        <v>0</v>
      </c>
      <c r="K73" s="198" t="s">
        <v>12</v>
      </c>
      <c r="L73" s="198"/>
      <c r="M73" s="198"/>
      <c r="N73" s="197" cm="1">
        <f t="array" ref="N73">IF(N$10="Nee",0,o_Isol_Max_Orientatie(N8,N11))</f>
        <v>0</v>
      </c>
      <c r="O73" s="198" t="s">
        <v>12</v>
      </c>
      <c r="P73" s="198"/>
      <c r="Q73" s="198"/>
      <c r="R73" s="197" cm="1">
        <f t="array" ref="R73">IF(R$10="Nee",0,o_Isol_Max_Orientatie(R8,R11))</f>
        <v>0</v>
      </c>
      <c r="S73" s="198" t="s">
        <v>12</v>
      </c>
      <c r="T73" s="198"/>
      <c r="U73" s="198"/>
    </row>
    <row r="74" spans="1:21" hidden="1" x14ac:dyDescent="0.2">
      <c r="A74" s="196" t="s">
        <v>250</v>
      </c>
      <c r="B74" s="199" t="e" cm="1">
        <f t="array" ref="B74">VALUE(o_Tijdstip_Isol_Max_Orientatie(B8,B11))</f>
        <v>#VALUE!</v>
      </c>
      <c r="C74" s="198"/>
      <c r="D74" s="198"/>
      <c r="E74" s="198"/>
      <c r="F74" s="200" cm="1">
        <f t="array" ref="F74">VALUE(o_Tijdstip_Isol_Max_Orientatie(F8,F11))</f>
        <v>0.375</v>
      </c>
      <c r="G74" s="198"/>
      <c r="H74" s="198"/>
      <c r="I74" s="198"/>
      <c r="J74" s="200" cm="1">
        <f t="array" ref="J74">VALUE(o_Tijdstip_Isol_Max_Orientatie(J8,J11))</f>
        <v>0.58333333333333337</v>
      </c>
      <c r="K74" s="198"/>
      <c r="L74" s="198"/>
      <c r="M74" s="198"/>
      <c r="N74" s="200" cm="1">
        <f t="array" ref="N74">VALUE(o_Tijdstip_Isol_Max_Orientatie(N8,N11))</f>
        <v>0.625</v>
      </c>
      <c r="O74" s="198"/>
      <c r="P74" s="198"/>
      <c r="Q74" s="198"/>
      <c r="R74" s="200" cm="1">
        <f t="array" ref="R74">VALUE(o_Tijdstip_Isol_Max_Orientatie(R8,R11))</f>
        <v>0.5</v>
      </c>
      <c r="S74" s="198"/>
      <c r="T74" s="198"/>
      <c r="U74" s="198"/>
    </row>
    <row r="75" spans="1:21" hidden="1" x14ac:dyDescent="0.2">
      <c r="A75" s="196"/>
      <c r="B75" s="196"/>
      <c r="C75" s="196"/>
      <c r="D75" s="196"/>
      <c r="E75" s="196"/>
      <c r="F75" s="196"/>
      <c r="G75" s="196"/>
      <c r="H75" s="196"/>
      <c r="I75" s="196"/>
      <c r="J75" s="196"/>
      <c r="K75" s="196"/>
      <c r="L75" s="196"/>
      <c r="M75" s="196"/>
      <c r="N75" s="196"/>
      <c r="O75" s="196"/>
      <c r="P75" s="196"/>
      <c r="Q75" s="196"/>
      <c r="R75" s="196"/>
      <c r="S75" s="196"/>
      <c r="T75" s="196"/>
      <c r="U75" s="196"/>
    </row>
    <row r="76" spans="1:21" ht="13.5" hidden="1" x14ac:dyDescent="0.25">
      <c r="A76" s="196" t="s">
        <v>142</v>
      </c>
      <c r="B76" s="196"/>
      <c r="C76" s="196"/>
      <c r="D76" s="196" t="s">
        <v>284</v>
      </c>
      <c r="E76" s="196"/>
      <c r="F76" s="196"/>
      <c r="G76" s="196"/>
      <c r="H76" s="196"/>
      <c r="I76" s="196"/>
      <c r="J76" s="196"/>
      <c r="K76" s="196"/>
      <c r="L76" s="196"/>
      <c r="M76" s="196"/>
      <c r="N76" s="196"/>
      <c r="O76" s="196"/>
      <c r="P76" s="196"/>
      <c r="Q76" s="196"/>
      <c r="R76" s="196"/>
      <c r="S76" s="196"/>
      <c r="T76" s="196"/>
      <c r="U76" s="196"/>
    </row>
    <row r="77" spans="1:21" hidden="1" x14ac:dyDescent="0.2">
      <c r="A77" s="201">
        <v>0.375</v>
      </c>
      <c r="B77" s="197" cm="1">
        <f t="array" ref="B77">IFERROR((0.75*B$18*FLOOR(B$20,0.05)*0.9*B$35*B$38*o_Isol_Bij_Tijdstip($A77,B$8,B$11))+(0.75*D$18*FLOOR(D$20,0.05)*0.9*D$35*D$38*o_Isol_Bij_Tijdstip($A77,B$8,B$11)),0)</f>
        <v>0</v>
      </c>
      <c r="C77" s="196" t="s">
        <v>11</v>
      </c>
      <c r="D77" s="196">
        <v>24.7</v>
      </c>
      <c r="E77" s="196"/>
      <c r="F77" s="197" cm="1">
        <f t="array" ref="F77">IFERROR((0.75*F$18*FLOOR(F$20,0.05)*0.9*F$35*F$38*o_Isol_Bij_Tijdstip($A77,F$8,F$11))+(0.75*H$18*FLOOR(H$20,0.05)*0.9*H$35*H$38*o_Isol_Bij_Tijdstip($A77,F$8,F$11)),0)</f>
        <v>0</v>
      </c>
      <c r="G77" s="196" t="s">
        <v>11</v>
      </c>
      <c r="H77" s="196"/>
      <c r="I77" s="196"/>
      <c r="J77" s="197" cm="1">
        <f t="array" ref="J77">IFERROR((0.75*J$18*FLOOR(J$20,0.05)*0.9*J$35*J$38*o_Isol_Bij_Tijdstip($A77,J$8,J$11))+(0.75*L$18*FLOOR(L$20,0.05)*0.9*L$35*L$38*o_Isol_Bij_Tijdstip($A77,J$8,J$11)),0)</f>
        <v>0</v>
      </c>
      <c r="K77" s="196" t="s">
        <v>11</v>
      </c>
      <c r="L77" s="196"/>
      <c r="M77" s="196"/>
      <c r="N77" s="197" cm="1">
        <f t="array" ref="N77">IFERROR((0.75*N$18*FLOOR(N$20,0.05)*0.9*N$35*N$38*o_Isol_Bij_Tijdstip($A77,N$8,N$11))+(0.75*P$18*FLOOR(P$20,0.05)*0.9*P$35*P$38*o_Isol_Bij_Tijdstip($A77,N$8,N$11)),0)</f>
        <v>0</v>
      </c>
      <c r="O77" s="196" t="s">
        <v>11</v>
      </c>
      <c r="P77" s="196"/>
      <c r="Q77" s="196"/>
      <c r="R77" s="197" cm="1">
        <f t="array" ref="R77">IFERROR(IF(R$10="Nee",0,(0.75*R$18*FLOOR(R$20,0.05)*0.9*R$35*R$38*o_Isol_Bij_Tijdstip($A77,R$8,R$11))+(0.75*T$18*FLOOR(T$20,0.05)*0.9*T$35*T$38*o_Isol_Bij_Tijdstip($A77,R$8,R$11))),0)</f>
        <v>0</v>
      </c>
      <c r="S77" s="196" t="s">
        <v>11</v>
      </c>
      <c r="T77" s="197">
        <f t="shared" ref="T77:T86" si="0">B77+F77+J77+N77+R77</f>
        <v>0</v>
      </c>
      <c r="U77" s="196" t="s">
        <v>11</v>
      </c>
    </row>
    <row r="78" spans="1:21" hidden="1" x14ac:dyDescent="0.2">
      <c r="A78" s="201">
        <v>0.41666666666666669</v>
      </c>
      <c r="B78" s="197" cm="1">
        <f t="array" ref="B78">IFERROR((0.75*B$18*FLOOR(B$20,0.05)*0.9*B$35*B$38*o_Isol_Bij_Tijdstip($A78,B$8,B$11))+(0.75*D$18*FLOOR(D$20,0.05)*0.9*D$35*D$38*o_Isol_Bij_Tijdstip($A78,B$8,B$11)),0)</f>
        <v>0</v>
      </c>
      <c r="C78" s="196" t="s">
        <v>11</v>
      </c>
      <c r="D78" s="196">
        <v>26.9</v>
      </c>
      <c r="E78" s="196"/>
      <c r="F78" s="197" cm="1">
        <f t="array" ref="F78">IFERROR((0.75*F$18*FLOOR(F$20,0.05)*0.9*F$35*F$38*o_Isol_Bij_Tijdstip($A78,F$8,F$11))+(0.75*H$18*FLOOR(H$20,0.05)*0.9*H$35*H$38*o_Isol_Bij_Tijdstip($A78,F$8,F$11)),0)</f>
        <v>0</v>
      </c>
      <c r="G78" s="196" t="s">
        <v>11</v>
      </c>
      <c r="H78" s="196"/>
      <c r="I78" s="196"/>
      <c r="J78" s="197" cm="1">
        <f t="array" ref="J78">IFERROR((0.75*J$18*FLOOR(J$20,0.05)*0.9*J$35*J$38*o_Isol_Bij_Tijdstip($A78,J$8,J$11))+(0.75*L$18*FLOOR(L$20,0.05)*0.9*L$35*L$38*o_Isol_Bij_Tijdstip($A78,J$8,J$11)),0)</f>
        <v>0</v>
      </c>
      <c r="K78" s="196" t="s">
        <v>11</v>
      </c>
      <c r="L78" s="196"/>
      <c r="M78" s="196"/>
      <c r="N78" s="197" cm="1">
        <f t="array" ref="N78">IFERROR((0.75*N$18*FLOOR(N$20,0.05)*0.9*N$35*N$38*o_Isol_Bij_Tijdstip($A78,N$8,N$11))+(0.75*P$18*FLOOR(P$20,0.05)*0.9*P$35*P$38*o_Isol_Bij_Tijdstip($A78,N$8,N$11)),0)</f>
        <v>0</v>
      </c>
      <c r="O78" s="196" t="s">
        <v>11</v>
      </c>
      <c r="P78" s="196"/>
      <c r="Q78" s="196"/>
      <c r="R78" s="197" cm="1">
        <f t="array" ref="R78">IFERROR(IF(R$10="Nee",0,(0.75*R$18*FLOOR(R$20,0.05)*0.9*R$35*R$38*o_Isol_Bij_Tijdstip($A78,R$8,R$11))+(0.75*T$18*FLOOR(T$20,0.05)*0.9*T$35*T$38*o_Isol_Bij_Tijdstip($A78,R$8,R$11))),0)</f>
        <v>0</v>
      </c>
      <c r="S78" s="196" t="s">
        <v>11</v>
      </c>
      <c r="T78" s="197">
        <f t="shared" si="0"/>
        <v>0</v>
      </c>
      <c r="U78" s="196" t="s">
        <v>11</v>
      </c>
    </row>
    <row r="79" spans="1:21" hidden="1" x14ac:dyDescent="0.2">
      <c r="A79" s="201">
        <v>0.45833333333333331</v>
      </c>
      <c r="B79" s="197" cm="1">
        <f t="array" ref="B79">IFERROR((0.75*B$18*FLOOR(B$20,0.05)*0.9*B$35*B$38*o_Isol_Bij_Tijdstip($A79,B$8,B$11))+(0.75*D$18*FLOOR(D$20,0.05)*0.9*D$35*D$38*o_Isol_Bij_Tijdstip($A79,B$8,B$11)),0)</f>
        <v>0</v>
      </c>
      <c r="C79" s="196" t="s">
        <v>11</v>
      </c>
      <c r="D79" s="196">
        <v>28.2</v>
      </c>
      <c r="E79" s="196"/>
      <c r="F79" s="197" cm="1">
        <f t="array" ref="F79">IFERROR((0.75*F$18*FLOOR(F$20,0.05)*0.9*F$35*F$38*o_Isol_Bij_Tijdstip($A79,F$8,F$11))+(0.75*H$18*FLOOR(H$20,0.05)*0.9*H$35*H$38*o_Isol_Bij_Tijdstip($A79,F$8,F$11)),0)</f>
        <v>0</v>
      </c>
      <c r="G79" s="196" t="s">
        <v>11</v>
      </c>
      <c r="H79" s="196"/>
      <c r="I79" s="196"/>
      <c r="J79" s="197" cm="1">
        <f t="array" ref="J79">IFERROR((0.75*J$18*FLOOR(J$20,0.05)*0.9*J$35*J$38*o_Isol_Bij_Tijdstip($A79,J$8,J$11))+(0.75*L$18*FLOOR(L$20,0.05)*0.9*L$35*L$38*o_Isol_Bij_Tijdstip($A79,J$8,J$11)),0)</f>
        <v>0</v>
      </c>
      <c r="K79" s="196" t="s">
        <v>11</v>
      </c>
      <c r="L79" s="196"/>
      <c r="M79" s="196"/>
      <c r="N79" s="197" cm="1">
        <f t="array" ref="N79">IFERROR((0.75*N$18*FLOOR(N$20,0.05)*0.9*N$35*N$38*o_Isol_Bij_Tijdstip($A79,N$8,N$11))+(0.75*P$18*FLOOR(P$20,0.05)*0.9*P$35*P$38*o_Isol_Bij_Tijdstip($A79,N$8,N$11)),0)</f>
        <v>0</v>
      </c>
      <c r="O79" s="196" t="s">
        <v>11</v>
      </c>
      <c r="P79" s="196"/>
      <c r="Q79" s="196"/>
      <c r="R79" s="197" cm="1">
        <f t="array" ref="R79">IFERROR(IF(R$10="Nee",0,(0.75*R$18*FLOOR(R$20,0.05)*0.9*R$35*R$38*o_Isol_Bij_Tijdstip($A79,R$8,R$11))+(0.75*T$18*FLOOR(T$20,0.05)*0.9*T$35*T$38*o_Isol_Bij_Tijdstip($A79,R$8,R$11))),0)</f>
        <v>0</v>
      </c>
      <c r="S79" s="196" t="s">
        <v>11</v>
      </c>
      <c r="T79" s="197">
        <f t="shared" si="0"/>
        <v>0</v>
      </c>
      <c r="U79" s="196" t="s">
        <v>11</v>
      </c>
    </row>
    <row r="80" spans="1:21" hidden="1" x14ac:dyDescent="0.2">
      <c r="A80" s="201">
        <v>0.5</v>
      </c>
      <c r="B80" s="197" cm="1">
        <f t="array" ref="B80">IFERROR((0.75*B$18*FLOOR(B$20,0.05)*0.9*B$35*B$38*o_Isol_Bij_Tijdstip($A80,B$8,B$11))+(0.75*D$18*FLOOR(D$20,0.05)*0.9*D$35*D$38*o_Isol_Bij_Tijdstip($A80,B$8,B$11)),0)</f>
        <v>0</v>
      </c>
      <c r="C80" s="196" t="s">
        <v>11</v>
      </c>
      <c r="D80" s="196">
        <v>28.9</v>
      </c>
      <c r="E80" s="196"/>
      <c r="F80" s="197" cm="1">
        <f t="array" ref="F80">IFERROR((0.75*F$18*FLOOR(F$20,0.05)*0.9*F$35*F$38*o_Isol_Bij_Tijdstip($A80,F$8,F$11))+(0.75*H$18*FLOOR(H$20,0.05)*0.9*H$35*H$38*o_Isol_Bij_Tijdstip($A80,F$8,F$11)),0)</f>
        <v>0</v>
      </c>
      <c r="G80" s="196" t="s">
        <v>11</v>
      </c>
      <c r="H80" s="196"/>
      <c r="I80" s="196"/>
      <c r="J80" s="197" cm="1">
        <f t="array" ref="J80">IFERROR((0.75*J$18*FLOOR(J$20,0.05)*0.9*J$35*J$38*o_Isol_Bij_Tijdstip($A80,J$8,J$11))+(0.75*L$18*FLOOR(L$20,0.05)*0.9*L$35*L$38*o_Isol_Bij_Tijdstip($A80,J$8,J$11)),0)</f>
        <v>0</v>
      </c>
      <c r="K80" s="196" t="s">
        <v>11</v>
      </c>
      <c r="L80" s="196"/>
      <c r="M80" s="196"/>
      <c r="N80" s="197" cm="1">
        <f t="array" ref="N80">IFERROR((0.75*N$18*FLOOR(N$20,0.05)*0.9*N$35*N$38*o_Isol_Bij_Tijdstip($A80,N$8,N$11))+(0.75*P$18*FLOOR(P$20,0.05)*0.9*P$35*P$38*o_Isol_Bij_Tijdstip($A80,N$8,N$11)),0)</f>
        <v>0</v>
      </c>
      <c r="O80" s="196" t="s">
        <v>11</v>
      </c>
      <c r="P80" s="196"/>
      <c r="Q80" s="196"/>
      <c r="R80" s="197" cm="1">
        <f t="array" ref="R80">IFERROR(IF(R$10="Nee",0,(0.75*R$18*FLOOR(R$20,0.05)*0.9*R$35*R$38*o_Isol_Bij_Tijdstip($A80,R$8,R$11))+(0.75*T$18*FLOOR(T$20,0.05)*0.9*T$35*T$38*o_Isol_Bij_Tijdstip($A80,R$8,R$11))),0)</f>
        <v>0</v>
      </c>
      <c r="S80" s="196" t="s">
        <v>11</v>
      </c>
      <c r="T80" s="197">
        <f t="shared" si="0"/>
        <v>0</v>
      </c>
      <c r="U80" s="196" t="s">
        <v>11</v>
      </c>
    </row>
    <row r="81" spans="1:21" hidden="1" x14ac:dyDescent="0.2">
      <c r="A81" s="201">
        <v>0.54166666666666696</v>
      </c>
      <c r="B81" s="197" cm="1">
        <f t="array" ref="B81">IFERROR((0.75*B$18*FLOOR(B$20,0.05)*0.9*B$35*B$38*o_Isol_Bij_Tijdstip($A81,B$8,B$11))+(0.75*D$18*FLOOR(D$20,0.05)*0.9*D$35*D$38*o_Isol_Bij_Tijdstip($A81,B$8,B$11)),0)</f>
        <v>0</v>
      </c>
      <c r="C81" s="196" t="s">
        <v>11</v>
      </c>
      <c r="D81" s="196">
        <v>29.7</v>
      </c>
      <c r="E81" s="196"/>
      <c r="F81" s="197" cm="1">
        <f t="array" ref="F81">IFERROR((0.75*F$18*FLOOR(F$20,0.05)*0.9*F$35*F$38*o_Isol_Bij_Tijdstip($A81,F$8,F$11))+(0.75*H$18*FLOOR(H$20,0.05)*0.9*H$35*H$38*o_Isol_Bij_Tijdstip($A81,F$8,F$11)),0)</f>
        <v>0</v>
      </c>
      <c r="G81" s="196" t="s">
        <v>11</v>
      </c>
      <c r="H81" s="196"/>
      <c r="I81" s="196"/>
      <c r="J81" s="197" cm="1">
        <f t="array" ref="J81">IFERROR((0.75*J$18*FLOOR(J$20,0.05)*0.9*J$35*J$38*o_Isol_Bij_Tijdstip($A81,J$8,J$11))+(0.75*L$18*FLOOR(L$20,0.05)*0.9*L$35*L$38*o_Isol_Bij_Tijdstip($A81,J$8,J$11)),0)</f>
        <v>0</v>
      </c>
      <c r="K81" s="196" t="s">
        <v>11</v>
      </c>
      <c r="L81" s="196"/>
      <c r="M81" s="196"/>
      <c r="N81" s="197" cm="1">
        <f t="array" ref="N81">IFERROR((0.75*N$18*FLOOR(N$20,0.05)*0.9*N$35*N$38*o_Isol_Bij_Tijdstip($A81,N$8,N$11))+(0.75*P$18*FLOOR(P$20,0.05)*0.9*P$35*P$38*o_Isol_Bij_Tijdstip($A81,N$8,N$11)),0)</f>
        <v>0</v>
      </c>
      <c r="O81" s="196" t="s">
        <v>11</v>
      </c>
      <c r="P81" s="196"/>
      <c r="Q81" s="196"/>
      <c r="R81" s="197" cm="1">
        <f t="array" ref="R81">IFERROR(IF(R$10="Nee",0,(0.75*R$18*FLOOR(R$20,0.05)*0.9*R$35*R$38*o_Isol_Bij_Tijdstip($A81,R$8,R$11))+(0.75*T$18*FLOOR(T$20,0.05)*0.9*T$35*T$38*o_Isol_Bij_Tijdstip($A81,R$8,R$11))),0)</f>
        <v>0</v>
      </c>
      <c r="S81" s="196" t="s">
        <v>11</v>
      </c>
      <c r="T81" s="197">
        <f t="shared" si="0"/>
        <v>0</v>
      </c>
      <c r="U81" s="196" t="s">
        <v>11</v>
      </c>
    </row>
    <row r="82" spans="1:21" hidden="1" x14ac:dyDescent="0.2">
      <c r="A82" s="201">
        <v>0.58333333333333404</v>
      </c>
      <c r="B82" s="197" cm="1">
        <f t="array" ref="B82">IFERROR((0.75*B$18*FLOOR(B$20,0.05)*0.9*B$35*B$38*o_Isol_Bij_Tijdstip($A82,B$8,B$11))+(0.75*D$18*FLOOR(D$20,0.05)*0.9*D$35*D$38*o_Isol_Bij_Tijdstip($A82,B$8,B$11)),0)</f>
        <v>0</v>
      </c>
      <c r="C82" s="196" t="s">
        <v>11</v>
      </c>
      <c r="D82" s="196">
        <v>29.9</v>
      </c>
      <c r="E82" s="196"/>
      <c r="F82" s="197" cm="1">
        <f t="array" ref="F82">IFERROR((0.75*F$18*FLOOR(F$20,0.05)*0.9*F$35*F$38*o_Isol_Bij_Tijdstip($A82,F$8,F$11))+(0.75*H$18*FLOOR(H$20,0.05)*0.9*H$35*H$38*o_Isol_Bij_Tijdstip($A82,F$8,F$11)),0)</f>
        <v>0</v>
      </c>
      <c r="G82" s="196" t="s">
        <v>11</v>
      </c>
      <c r="H82" s="196"/>
      <c r="I82" s="196"/>
      <c r="J82" s="197" cm="1">
        <f t="array" ref="J82">IFERROR((0.75*J$18*FLOOR(J$20,0.05)*0.9*J$35*J$38*o_Isol_Bij_Tijdstip($A82,J$8,J$11))+(0.75*L$18*FLOOR(L$20,0.05)*0.9*L$35*L$38*o_Isol_Bij_Tijdstip($A82,J$8,J$11)),0)</f>
        <v>0</v>
      </c>
      <c r="K82" s="196" t="s">
        <v>11</v>
      </c>
      <c r="L82" s="196"/>
      <c r="M82" s="196"/>
      <c r="N82" s="197" cm="1">
        <f t="array" ref="N82">IFERROR((0.75*N$18*FLOOR(N$20,0.05)*0.9*N$35*N$38*o_Isol_Bij_Tijdstip($A82,N$8,N$11))+(0.75*P$18*FLOOR(P$20,0.05)*0.9*P$35*P$38*o_Isol_Bij_Tijdstip($A82,N$8,N$11)),0)</f>
        <v>0</v>
      </c>
      <c r="O82" s="196" t="s">
        <v>11</v>
      </c>
      <c r="P82" s="196"/>
      <c r="Q82" s="196"/>
      <c r="R82" s="197" cm="1">
        <f t="array" ref="R82">IFERROR(IF(R$10="Nee",0,(0.75*R$18*FLOOR(R$20,0.05)*0.9*R$35*R$38*o_Isol_Bij_Tijdstip($A82,R$8,R$11))+(0.75*T$18*FLOOR(T$20,0.05)*0.9*T$35*T$38*o_Isol_Bij_Tijdstip($A82,R$8,R$11))),0)</f>
        <v>0</v>
      </c>
      <c r="S82" s="196" t="s">
        <v>11</v>
      </c>
      <c r="T82" s="197">
        <f t="shared" si="0"/>
        <v>0</v>
      </c>
      <c r="U82" s="196" t="s">
        <v>11</v>
      </c>
    </row>
    <row r="83" spans="1:21" hidden="1" x14ac:dyDescent="0.2">
      <c r="A83" s="201">
        <v>0.625000000000001</v>
      </c>
      <c r="B83" s="197" cm="1">
        <f t="array" ref="B83">IFERROR((0.75*B$18*FLOOR(B$20,0.05)*0.9*B$35*B$38*o_Isol_Bij_Tijdstip($A83,B$8,B$11))+(0.75*D$18*FLOOR(D$20,0.05)*0.9*D$35*D$38*o_Isol_Bij_Tijdstip($A83,B$8,B$11)),0)</f>
        <v>0</v>
      </c>
      <c r="C83" s="196" t="s">
        <v>11</v>
      </c>
      <c r="D83" s="196">
        <v>29.8</v>
      </c>
      <c r="E83" s="196"/>
      <c r="F83" s="197" cm="1">
        <f t="array" ref="F83">IFERROR((0.75*F$18*FLOOR(F$20,0.05)*0.9*F$35*F$38*o_Isol_Bij_Tijdstip($A83,F$8,F$11))+(0.75*H$18*FLOOR(H$20,0.05)*0.9*H$35*H$38*o_Isol_Bij_Tijdstip($A83,F$8,F$11)),0)</f>
        <v>0</v>
      </c>
      <c r="G83" s="196" t="s">
        <v>11</v>
      </c>
      <c r="H83" s="196"/>
      <c r="I83" s="196"/>
      <c r="J83" s="197" cm="1">
        <f t="array" ref="J83">IFERROR((0.75*J$18*FLOOR(J$20,0.05)*0.9*J$35*J$38*o_Isol_Bij_Tijdstip($A83,J$8,J$11))+(0.75*L$18*FLOOR(L$20,0.05)*0.9*L$35*L$38*o_Isol_Bij_Tijdstip($A83,J$8,J$11)),0)</f>
        <v>0</v>
      </c>
      <c r="K83" s="196" t="s">
        <v>11</v>
      </c>
      <c r="L83" s="196"/>
      <c r="M83" s="196"/>
      <c r="N83" s="197" cm="1">
        <f t="array" ref="N83">IFERROR((0.75*N$18*FLOOR(N$20,0.05)*0.9*N$35*N$38*o_Isol_Bij_Tijdstip($A83,N$8,N$11))+(0.75*P$18*FLOOR(P$20,0.05)*0.9*P$35*P$38*o_Isol_Bij_Tijdstip($A83,N$8,N$11)),0)</f>
        <v>0</v>
      </c>
      <c r="O83" s="196" t="s">
        <v>11</v>
      </c>
      <c r="P83" s="196"/>
      <c r="Q83" s="196"/>
      <c r="R83" s="197" cm="1">
        <f t="array" ref="R83">IFERROR(IF(R$10="Nee",0,(0.75*R$18*FLOOR(R$20,0.05)*0.9*R$35*R$38*o_Isol_Bij_Tijdstip($A83,R$8,R$11))+(0.75*T$18*FLOOR(T$20,0.05)*0.9*T$35*T$38*o_Isol_Bij_Tijdstip($A83,R$8,R$11))),0)</f>
        <v>0</v>
      </c>
      <c r="S83" s="196" t="s">
        <v>11</v>
      </c>
      <c r="T83" s="197">
        <f t="shared" si="0"/>
        <v>0</v>
      </c>
      <c r="U83" s="196" t="s">
        <v>11</v>
      </c>
    </row>
    <row r="84" spans="1:21" hidden="1" x14ac:dyDescent="0.2">
      <c r="A84" s="201">
        <v>0.66666666666666796</v>
      </c>
      <c r="B84" s="197" cm="1">
        <f t="array" ref="B84">IFERROR((0.75*B$18*FLOOR(B$20,0.05)*0.9*B$35*B$38*o_Isol_Bij_Tijdstip($A84,B$8,B$11))+(0.75*D$18*FLOOR(D$20,0.05)*0.9*D$35*D$38*o_Isol_Bij_Tijdstip($A84,B$8,B$11)),0)</f>
        <v>0</v>
      </c>
      <c r="C84" s="196" t="s">
        <v>11</v>
      </c>
      <c r="D84" s="196">
        <v>30.4</v>
      </c>
      <c r="E84" s="196"/>
      <c r="F84" s="197" cm="1">
        <f t="array" ref="F84">IFERROR((0.75*F$18*FLOOR(F$20,0.05)*0.9*F$35*F$38*o_Isol_Bij_Tijdstip($A84,F$8,F$11))+(0.75*H$18*FLOOR(H$20,0.05)*0.9*H$35*H$38*o_Isol_Bij_Tijdstip($A84,F$8,F$11)),0)</f>
        <v>0</v>
      </c>
      <c r="G84" s="196" t="s">
        <v>11</v>
      </c>
      <c r="H84" s="196"/>
      <c r="I84" s="196"/>
      <c r="J84" s="197" cm="1">
        <f t="array" ref="J84">IFERROR((0.75*J$18*FLOOR(J$20,0.05)*0.9*J$35*J$38*o_Isol_Bij_Tijdstip($A84,J$8,J$11))+(0.75*L$18*FLOOR(L$20,0.05)*0.9*L$35*L$38*o_Isol_Bij_Tijdstip($A84,J$8,J$11)),0)</f>
        <v>0</v>
      </c>
      <c r="K84" s="196" t="s">
        <v>11</v>
      </c>
      <c r="L84" s="196"/>
      <c r="M84" s="196"/>
      <c r="N84" s="197" cm="1">
        <f t="array" ref="N84">IFERROR((0.75*N$18*FLOOR(N$20,0.05)*0.9*N$35*N$38*o_Isol_Bij_Tijdstip($A84,N$8,N$11))+(0.75*P$18*FLOOR(P$20,0.05)*0.9*P$35*P$38*o_Isol_Bij_Tijdstip($A84,N$8,N$11)),0)</f>
        <v>0</v>
      </c>
      <c r="O84" s="196" t="s">
        <v>11</v>
      </c>
      <c r="P84" s="196"/>
      <c r="Q84" s="196"/>
      <c r="R84" s="197" cm="1">
        <f t="array" ref="R84">IFERROR(IF(R$10="Nee",0,(0.75*R$18*FLOOR(R$20,0.05)*0.9*R$35*R$38*o_Isol_Bij_Tijdstip($A84,R$8,R$11))+(0.75*T$18*FLOOR(T$20,0.05)*0.9*T$35*T$38*o_Isol_Bij_Tijdstip($A84,R$8,R$11))),0)</f>
        <v>0</v>
      </c>
      <c r="S84" s="196" t="s">
        <v>11</v>
      </c>
      <c r="T84" s="197">
        <f t="shared" si="0"/>
        <v>0</v>
      </c>
      <c r="U84" s="196" t="s">
        <v>11</v>
      </c>
    </row>
    <row r="85" spans="1:21" hidden="1" x14ac:dyDescent="0.2">
      <c r="A85" s="201">
        <v>0.70833333333333504</v>
      </c>
      <c r="B85" s="197" cm="1">
        <f t="array" ref="B85">IFERROR((0.75*B$18*FLOOR(B$20,0.05)*0.9*B$35*B$38*o_Isol_Bij_Tijdstip($A85,B$8,B$11))+(0.75*D$18*FLOOR(D$20,0.05)*0.9*D$35*D$38*o_Isol_Bij_Tijdstip($A85,B$8,B$11)),0)</f>
        <v>0</v>
      </c>
      <c r="C85" s="196" t="s">
        <v>11</v>
      </c>
      <c r="D85" s="196">
        <v>30.6</v>
      </c>
      <c r="E85" s="196"/>
      <c r="F85" s="197" cm="1">
        <f t="array" ref="F85">IFERROR((0.75*F$18*FLOOR(F$20,0.05)*0.9*F$35*F$38*o_Isol_Bij_Tijdstip($A85,F$8,F$11))+(0.75*H$18*FLOOR(H$20,0.05)*0.9*H$35*H$38*o_Isol_Bij_Tijdstip($A85,F$8,F$11)),0)</f>
        <v>0</v>
      </c>
      <c r="G85" s="196" t="s">
        <v>11</v>
      </c>
      <c r="H85" s="196"/>
      <c r="I85" s="196"/>
      <c r="J85" s="197" cm="1">
        <f t="array" ref="J85">IFERROR((0.75*J$18*FLOOR(J$20,0.05)*0.9*J$35*J$38*o_Isol_Bij_Tijdstip($A85,J$8,J$11))+(0.75*L$18*FLOOR(L$20,0.05)*0.9*L$35*L$38*o_Isol_Bij_Tijdstip($A85,J$8,J$11)),0)</f>
        <v>0</v>
      </c>
      <c r="K85" s="196" t="s">
        <v>11</v>
      </c>
      <c r="L85" s="196"/>
      <c r="M85" s="196"/>
      <c r="N85" s="197" cm="1">
        <f t="array" ref="N85">IFERROR((0.75*N$18*FLOOR(N$20,0.05)*0.9*N$35*N$38*o_Isol_Bij_Tijdstip($A85,N$8,N$11))+(0.75*P$18*FLOOR(P$20,0.05)*0.9*P$35*P$38*o_Isol_Bij_Tijdstip($A85,N$8,N$11)),0)</f>
        <v>0</v>
      </c>
      <c r="O85" s="196" t="s">
        <v>11</v>
      </c>
      <c r="P85" s="196"/>
      <c r="Q85" s="196"/>
      <c r="R85" s="197" cm="1">
        <f t="array" ref="R85">IFERROR(IF(R$10="Nee",0,(0.75*R$18*FLOOR(R$20,0.05)*0.9*R$35*R$38*o_Isol_Bij_Tijdstip($A85,R$8,R$11))+(0.75*T$18*FLOOR(T$20,0.05)*0.9*T$35*T$38*o_Isol_Bij_Tijdstip($A85,R$8,R$11))),0)</f>
        <v>0</v>
      </c>
      <c r="S85" s="196" t="s">
        <v>11</v>
      </c>
      <c r="T85" s="197">
        <f t="shared" si="0"/>
        <v>0</v>
      </c>
      <c r="U85" s="196" t="s">
        <v>11</v>
      </c>
    </row>
    <row r="86" spans="1:21" hidden="1" x14ac:dyDescent="0.2">
      <c r="A86" s="201">
        <v>0.750000000000002</v>
      </c>
      <c r="B86" s="197" cm="1">
        <f t="array" ref="B86">IFERROR((0.75*B$18*FLOOR(B$20,0.05)*0.9*B$35*B$38*o_Isol_Bij_Tijdstip($A86,B$8,B$11))+(0.75*D$18*FLOOR(D$20,0.05)*0.9*D$35*D$38*o_Isol_Bij_Tijdstip($A86,B$8,B$11)),0)</f>
        <v>0</v>
      </c>
      <c r="C86" s="196" t="s">
        <v>11</v>
      </c>
      <c r="D86" s="196">
        <v>30.1</v>
      </c>
      <c r="E86" s="196"/>
      <c r="F86" s="197" cm="1">
        <f t="array" ref="F86">IFERROR((0.75*F$18*FLOOR(F$20,0.05)*0.9*F$35*F$38*o_Isol_Bij_Tijdstip($A86,F$8,F$11))+(0.75*H$18*FLOOR(H$20,0.05)*0.9*H$35*H$38*o_Isol_Bij_Tijdstip($A86,F$8,F$11)),0)</f>
        <v>0</v>
      </c>
      <c r="G86" s="196" t="s">
        <v>11</v>
      </c>
      <c r="H86" s="196"/>
      <c r="I86" s="196"/>
      <c r="J86" s="197" cm="1">
        <f t="array" ref="J86">IFERROR((0.75*J$18*FLOOR(J$20,0.05)*0.9*J$35*J$38*o_Isol_Bij_Tijdstip($A86,J$8,J$11))+(0.75*L$18*FLOOR(L$20,0.05)*0.9*L$35*L$38*o_Isol_Bij_Tijdstip($A86,J$8,J$11)),0)</f>
        <v>0</v>
      </c>
      <c r="K86" s="196" t="s">
        <v>11</v>
      </c>
      <c r="L86" s="196"/>
      <c r="M86" s="196"/>
      <c r="N86" s="197" cm="1">
        <f t="array" ref="N86">IFERROR((0.75*N$18*FLOOR(N$20,0.05)*0.9*N$35*N$38*o_Isol_Bij_Tijdstip($A86,N$8,N$11))+(0.75*P$18*FLOOR(P$20,0.05)*0.9*P$35*P$38*o_Isol_Bij_Tijdstip($A86,N$8,N$11)),0)</f>
        <v>0</v>
      </c>
      <c r="O86" s="196" t="s">
        <v>11</v>
      </c>
      <c r="P86" s="196"/>
      <c r="Q86" s="196"/>
      <c r="R86" s="197" cm="1">
        <f t="array" ref="R86">IFERROR(IF(R$10="Nee",0,(0.75*R$18*FLOOR(R$20,0.05)*0.9*R$35*R$38*o_Isol_Bij_Tijdstip($A86,R$8,R$11))+(0.75*T$18*FLOOR(T$20,0.05)*0.9*T$35*T$38*o_Isol_Bij_Tijdstip($A86,R$8,R$11))),0)</f>
        <v>0</v>
      </c>
      <c r="S86" s="196" t="s">
        <v>11</v>
      </c>
      <c r="T86" s="197">
        <f t="shared" si="0"/>
        <v>0</v>
      </c>
      <c r="U86" s="196" t="s">
        <v>11</v>
      </c>
    </row>
    <row r="87" spans="1:21" hidden="1" x14ac:dyDescent="0.2">
      <c r="A87" s="201"/>
      <c r="B87" s="196"/>
      <c r="C87" s="196"/>
      <c r="D87" s="196"/>
      <c r="E87" s="196"/>
      <c r="F87" s="196"/>
      <c r="G87" s="196"/>
      <c r="H87" s="196"/>
      <c r="I87" s="196"/>
      <c r="J87" s="196"/>
      <c r="K87" s="196"/>
      <c r="L87" s="196"/>
      <c r="M87" s="196"/>
      <c r="N87" s="196"/>
      <c r="O87" s="196"/>
      <c r="P87" s="196"/>
      <c r="Q87" s="196"/>
      <c r="R87" s="196"/>
      <c r="S87" s="196"/>
      <c r="T87" s="196"/>
      <c r="U87" s="196"/>
    </row>
    <row r="88" spans="1:21" hidden="1" x14ac:dyDescent="0.2">
      <c r="A88" s="196" t="s">
        <v>151</v>
      </c>
      <c r="B88" s="200" t="str">
        <f>IF(MAX(T77:T86)=0,"Geen glas aanwezig",_xlfn.XLOOKUP(MAX(T77:T86),T77:T86,A77:A86,"nvt"))</f>
        <v>Geen glas aanwezig</v>
      </c>
      <c r="C88" s="196"/>
      <c r="D88" s="196"/>
      <c r="E88" s="196"/>
      <c r="F88" s="196"/>
      <c r="G88" s="196"/>
      <c r="H88" s="196"/>
      <c r="I88" s="196"/>
      <c r="J88" s="196"/>
      <c r="K88" s="196"/>
      <c r="L88" s="196"/>
      <c r="M88" s="196"/>
      <c r="N88" s="196"/>
      <c r="O88" s="196"/>
      <c r="P88" s="196"/>
      <c r="Q88" s="196"/>
      <c r="R88" s="196"/>
      <c r="S88" s="196"/>
      <c r="T88" s="196"/>
      <c r="U88" s="196"/>
    </row>
    <row r="89" spans="1:21" hidden="1" x14ac:dyDescent="0.2"/>
    <row r="90" spans="1:21" hidden="1" x14ac:dyDescent="0.2"/>
    <row r="91" spans="1:21" hidden="1" x14ac:dyDescent="0.2"/>
    <row r="92" spans="1:21" hidden="1" x14ac:dyDescent="0.2"/>
    <row r="93" spans="1:21" hidden="1" x14ac:dyDescent="0.2"/>
    <row r="94" spans="1:21" hidden="1" x14ac:dyDescent="0.2"/>
    <row r="95" spans="1:21" hidden="1" x14ac:dyDescent="0.2"/>
  </sheetData>
  <sheetProtection algorithmName="SHA-512" hashValue="Z4THgb+m2y189a/KT4gwa6WvF7YrydYSFTUyfS4dbOip7d+ZVUVPQsoxo7D1RhNM3SbFF1c6jvnJIhcMhhMKHg==" saltValue="NxdvJ6A+/0c4wt8oz2UWpQ==" spinCount="100000" sheet="1" objects="1" scenarios="1" selectLockedCells="1"/>
  <mergeCells count="41">
    <mergeCell ref="R56:T56"/>
    <mergeCell ref="R57:T57"/>
    <mergeCell ref="R58:T58"/>
    <mergeCell ref="R7:U7"/>
    <mergeCell ref="A1:U1"/>
    <mergeCell ref="R41:T41"/>
    <mergeCell ref="R42:T42"/>
    <mergeCell ref="R55:T55"/>
    <mergeCell ref="N55:P55"/>
    <mergeCell ref="N56:P56"/>
    <mergeCell ref="N57:P57"/>
    <mergeCell ref="N58:P58"/>
    <mergeCell ref="N7:P7"/>
    <mergeCell ref="F42:H42"/>
    <mergeCell ref="F41:H41"/>
    <mergeCell ref="J42:L42"/>
    <mergeCell ref="J58:L58"/>
    <mergeCell ref="F58:H58"/>
    <mergeCell ref="B55:D55"/>
    <mergeCell ref="B56:D56"/>
    <mergeCell ref="F56:H56"/>
    <mergeCell ref="B57:D57"/>
    <mergeCell ref="F55:H55"/>
    <mergeCell ref="F57:H57"/>
    <mergeCell ref="B58:D58"/>
    <mergeCell ref="A71:U72"/>
    <mergeCell ref="B7:D7"/>
    <mergeCell ref="F7:H7"/>
    <mergeCell ref="J7:L7"/>
    <mergeCell ref="J41:L41"/>
    <mergeCell ref="N41:P41"/>
    <mergeCell ref="N42:P42"/>
    <mergeCell ref="B41:D41"/>
    <mergeCell ref="B42:D42"/>
    <mergeCell ref="B60:D60"/>
    <mergeCell ref="B61:D61"/>
    <mergeCell ref="B63:D63"/>
    <mergeCell ref="B64:D64"/>
    <mergeCell ref="J55:L55"/>
    <mergeCell ref="J56:L56"/>
    <mergeCell ref="J57:L57"/>
  </mergeCells>
  <phoneticPr fontId="23" type="noConversion"/>
  <conditionalFormatting sqref="B77:B86">
    <cfRule type="colorScale" priority="10">
      <colorScale>
        <cfvo type="min"/>
        <cfvo type="percentile" val="50"/>
        <cfvo type="max"/>
        <color rgb="FF61D6FF"/>
        <color rgb="FFFFD85D"/>
        <color rgb="FFFF6D6D"/>
      </colorScale>
    </cfRule>
  </conditionalFormatting>
  <conditionalFormatting sqref="T77:T86">
    <cfRule type="colorScale" priority="5">
      <colorScale>
        <cfvo type="min"/>
        <cfvo type="percentile" val="50"/>
        <cfvo type="max"/>
        <color rgb="FF61D6FF"/>
        <color rgb="FFFFD85D"/>
        <color rgb="FFFF6D6D"/>
      </colorScale>
    </cfRule>
  </conditionalFormatting>
  <conditionalFormatting sqref="F77:F86">
    <cfRule type="colorScale" priority="4">
      <colorScale>
        <cfvo type="min"/>
        <cfvo type="percentile" val="50"/>
        <cfvo type="max"/>
        <color rgb="FF61D6FF"/>
        <color rgb="FFFFD85D"/>
        <color rgb="FFFF6D6D"/>
      </colorScale>
    </cfRule>
  </conditionalFormatting>
  <conditionalFormatting sqref="J77:J86">
    <cfRule type="colorScale" priority="3">
      <colorScale>
        <cfvo type="min"/>
        <cfvo type="percentile" val="50"/>
        <cfvo type="max"/>
        <color rgb="FF61D6FF"/>
        <color rgb="FFFFD85D"/>
        <color rgb="FFFF6D6D"/>
      </colorScale>
    </cfRule>
  </conditionalFormatting>
  <conditionalFormatting sqref="N77:N86">
    <cfRule type="colorScale" priority="2">
      <colorScale>
        <cfvo type="min"/>
        <cfvo type="percentile" val="50"/>
        <cfvo type="max"/>
        <color rgb="FF61D6FF"/>
        <color rgb="FFFFD85D"/>
        <color rgb="FFFF6D6D"/>
      </colorScale>
    </cfRule>
  </conditionalFormatting>
  <conditionalFormatting sqref="R77:R86">
    <cfRule type="colorScale" priority="1">
      <colorScale>
        <cfvo type="min"/>
        <cfvo type="percentile" val="50"/>
        <cfvo type="max"/>
        <color rgb="FF61D6FF"/>
        <color rgb="FFFFD85D"/>
        <color rgb="FFFF6D6D"/>
      </colorScale>
    </cfRule>
  </conditionalFormatting>
  <dataValidations count="5">
    <dataValidation type="list" allowBlank="1" showInputMessage="1" showErrorMessage="1" sqref="F10 N10 B10 J10 R10" xr:uid="{E4FCC387-923A-4222-979C-0222248F8247}">
      <formula1>"Nee,Ja"</formula1>
    </dataValidation>
    <dataValidation type="whole" allowBlank="1" showErrorMessage="1" error="Een helling &lt; 15° is en platdak voer deze bij kolom R in. _x000a_90° is de maximale invoerwaarde" sqref="H11 D11 L10:L11 B11 F11 J11 K8:M9 O8:Q10 T11 N11 K10 M10 P15:P16 P11:P12 Q11:Q16" xr:uid="{859C5C3E-5C0B-4879-9F7D-D5948F8C0FA5}">
      <formula1>15</formula1>
      <formula2>90</formula2>
    </dataValidation>
    <dataValidation type="whole" allowBlank="1" showErrorMessage="1" error="Een platdak heeft een helling van maximaal 15°, voor daken in bij gevels op de juiste orientatie" sqref="R11" xr:uid="{ADF7C245-AE60-490C-875D-ABC11171BBA9}">
      <formula1>0</formula1>
      <formula2>15</formula2>
    </dataValidation>
    <dataValidation type="list" allowBlank="1" showInputMessage="1" showErrorMessage="1" sqref="P30 L30 D30 N30 H30 F30 J30 B30" xr:uid="{0B963D7B-322C-4987-A82A-104454164A04}">
      <formula1>"Links,Rechts,Beide zijden"</formula1>
    </dataValidation>
    <dataValidation type="list" allowBlank="1" showInputMessage="1" showErrorMessage="1" sqref="B4" xr:uid="{DD77EA47-7207-4A35-A99A-DF5B50532F02}">
      <formula1>"Woonvertrek, Andere verblijfsruimte"</formula1>
    </dataValidation>
  </dataValidations>
  <pageMargins left="0.23622047244094491" right="0.23622047244094491" top="0.74803149606299213" bottom="0.74803149606299213" header="0.31496062992125984" footer="0.31496062992125984"/>
  <pageSetup paperSize="9" scale="48" orientation="landscape" r:id="rId1"/>
  <headerFooter alignWithMargins="0">
    <oddHeader>&amp;CREKENTOOL VEREENVOUDIGDE BEPALINGSMETHODE KOELBEHOEFTE (BIJLAGE AA - VERSIE 2025 -NTA 8800)&amp;Rversie 2025.04 d.d. 09-04-2025</oddHeader>
    <oddFooter>&amp;LPrint datum:&amp;D &amp;T_x000D_&amp;1#&amp;"Calibri"&amp;10&amp;K000000 Intern gebruik&amp;C&amp;F&amp;R&amp;P van &amp;N</oddFooter>
  </headerFooter>
  <drawing r:id="rId2"/>
  <legacyDrawing r:id="rId3"/>
  <controls>
    <mc:AlternateContent xmlns:mc="http://schemas.openxmlformats.org/markup-compatibility/2006">
      <mc:Choice Requires="x14">
        <control shapeId="3183" r:id="rId4" name="CommandButton1">
          <controlPr defaultSize="0" autoLine="0" r:id="rId5">
            <anchor moveWithCells="1">
              <from>
                <xdr:col>3</xdr:col>
                <xdr:colOff>209550</xdr:colOff>
                <xdr:row>1</xdr:row>
                <xdr:rowOff>133350</xdr:rowOff>
              </from>
              <to>
                <xdr:col>5</xdr:col>
                <xdr:colOff>38100</xdr:colOff>
                <xdr:row>4</xdr:row>
                <xdr:rowOff>9525</xdr:rowOff>
              </to>
            </anchor>
          </controlPr>
        </control>
      </mc:Choice>
      <mc:Fallback>
        <control shapeId="3183" r:id="rId4" name="CommandButton1"/>
      </mc:Fallback>
    </mc:AlternateContent>
  </controls>
  <extLst>
    <ext xmlns:x14="http://schemas.microsoft.com/office/spreadsheetml/2009/9/main" uri="{CCE6A557-97BC-4b89-ADB6-D9C93CAAB3DF}">
      <x14:dataValidations xmlns:xm="http://schemas.microsoft.com/office/excel/2006/main" count="6">
        <x14:dataValidation type="list" allowBlank="1" showInputMessage="1" showErrorMessage="1" xr:uid="{A098A217-299A-463D-85D1-CA7CE6F79420}">
          <x14:formula1>
            <xm:f>Tabellen!$A$85:$A$99</xm:f>
          </x14:formula1>
          <xm:sqref>P37 N37 D37 B37 H37 L37 F37 J37</xm:sqref>
        </x14:dataValidation>
        <x14:dataValidation type="list" allowBlank="1" showInputMessage="1" showErrorMessage="1" xr:uid="{DF979A97-07DD-4E0E-8146-751803848433}">
          <x14:formula1>
            <xm:f>Tabellen!$A$111:$A$113</xm:f>
          </x14:formula1>
          <xm:sqref>R21 T21</xm:sqref>
        </x14:dataValidation>
        <x14:dataValidation type="list" allowBlank="1" showInputMessage="1" showErrorMessage="1" xr:uid="{CAD26AFB-F5F9-4AF0-AD56-61C4D1CDDA82}">
          <x14:formula1>
            <xm:f>Tabellen!$A$103:$A$108</xm:f>
          </x14:formula1>
          <xm:sqref>L21 H21 B21 D21 N21 F21 P21 J21</xm:sqref>
        </x14:dataValidation>
        <x14:dataValidation type="list" allowBlank="1" showInputMessage="1" showErrorMessage="1" xr:uid="{52153064-03C7-452D-BAA2-B82F083EFB50}">
          <x14:formula1>
            <xm:f>Tabellen!$A$42:$A$49</xm:f>
          </x14:formula1>
          <xm:sqref>N8</xm:sqref>
        </x14:dataValidation>
        <x14:dataValidation type="list" allowBlank="1" showInputMessage="1" showErrorMessage="1" xr:uid="{15102227-4F92-421F-88ED-3B7AA7BF04FA}">
          <x14:formula1>
            <xm:f>Tabellen!$A$85:$A$97</xm:f>
          </x14:formula1>
          <xm:sqref>R37 T37</xm:sqref>
        </x14:dataValidation>
        <x14:dataValidation type="list" errorStyle="information" allowBlank="1" showInputMessage="1" xr:uid="{B02CB87B-CAEB-4C4F-907E-444BDAB544AA}">
          <x14:formula1>
            <xm:f>Tabellen!$A$42:$A$49</xm:f>
          </x14:formula1>
          <xm:sqref>J8 F8</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548EB-E4E0-43FA-A330-BDC532CC2F32}">
  <sheetPr codeName="Blad12">
    <pageSetUpPr fitToPage="1"/>
  </sheetPr>
  <dimension ref="A1:U95"/>
  <sheetViews>
    <sheetView showGridLines="0" zoomScale="90" zoomScaleNormal="90" workbookViewId="0">
      <selection activeCell="B3" sqref="B3"/>
    </sheetView>
  </sheetViews>
  <sheetFormatPr defaultColWidth="9.140625" defaultRowHeight="12" x14ac:dyDescent="0.2"/>
  <cols>
    <col min="1" max="1" width="49.7109375" style="202" bestFit="1" customWidth="1"/>
    <col min="2" max="2" width="18.28515625" style="202" customWidth="1"/>
    <col min="3" max="3" width="6.28515625" style="202" bestFit="1" customWidth="1"/>
    <col min="4" max="4" width="18.28515625" style="202" customWidth="1"/>
    <col min="5" max="5" width="6.28515625" style="202" bestFit="1" customWidth="1"/>
    <col min="6" max="6" width="18.28515625" style="202" customWidth="1"/>
    <col min="7" max="7" width="6.28515625" style="202" bestFit="1" customWidth="1"/>
    <col min="8" max="8" width="18.28515625" style="202" customWidth="1"/>
    <col min="9" max="9" width="6.28515625" style="202" bestFit="1" customWidth="1"/>
    <col min="10" max="10" width="18.28515625" style="202" customWidth="1"/>
    <col min="11" max="11" width="6.28515625" style="202" bestFit="1" customWidth="1"/>
    <col min="12" max="12" width="18.28515625" style="202" customWidth="1"/>
    <col min="13" max="13" width="6.28515625" style="202" bestFit="1" customWidth="1"/>
    <col min="14" max="14" width="18.28515625" style="202" customWidth="1"/>
    <col min="15" max="15" width="6.28515625" style="202" bestFit="1" customWidth="1"/>
    <col min="16" max="16" width="18.28515625" style="202" customWidth="1"/>
    <col min="17" max="17" width="6.28515625" style="202" bestFit="1" customWidth="1"/>
    <col min="18" max="18" width="18.28515625" style="202" customWidth="1"/>
    <col min="19" max="19" width="6.28515625" style="202" bestFit="1" customWidth="1"/>
    <col min="20" max="20" width="18.28515625" style="194" customWidth="1"/>
    <col min="21" max="21" width="6.7109375" style="194" bestFit="1" customWidth="1"/>
    <col min="22" max="16384" width="9.140625" style="194"/>
  </cols>
  <sheetData>
    <row r="1" spans="1:21" s="192" customFormat="1" ht="24" customHeight="1" x14ac:dyDescent="0.2">
      <c r="A1" s="251" t="s">
        <v>196</v>
      </c>
      <c r="B1" s="251"/>
      <c r="C1" s="251"/>
      <c r="D1" s="251"/>
      <c r="E1" s="251"/>
      <c r="F1" s="251"/>
      <c r="G1" s="251"/>
      <c r="H1" s="251"/>
      <c r="I1" s="251"/>
      <c r="J1" s="251"/>
      <c r="K1" s="251"/>
      <c r="L1" s="251"/>
      <c r="M1" s="251"/>
      <c r="N1" s="251"/>
      <c r="O1" s="251"/>
      <c r="P1" s="251"/>
      <c r="Q1" s="251"/>
      <c r="R1" s="251"/>
      <c r="S1" s="251"/>
      <c r="T1" s="251"/>
      <c r="U1" s="251"/>
    </row>
    <row r="2" spans="1:21" s="193" customFormat="1" ht="12" customHeight="1" x14ac:dyDescent="0.2">
      <c r="A2" s="65"/>
      <c r="B2" s="75"/>
      <c r="C2" s="75"/>
      <c r="D2" s="75"/>
      <c r="E2" s="75"/>
      <c r="F2" s="75"/>
      <c r="G2" s="75"/>
      <c r="H2" s="75"/>
      <c r="I2" s="75"/>
      <c r="J2" s="75"/>
      <c r="K2" s="75"/>
      <c r="L2" s="75"/>
      <c r="M2" s="75"/>
      <c r="N2" s="75"/>
      <c r="O2" s="75"/>
      <c r="P2" s="75"/>
      <c r="Q2" s="75"/>
      <c r="R2" s="35"/>
      <c r="S2" s="35"/>
      <c r="T2" s="35"/>
      <c r="U2" s="35"/>
    </row>
    <row r="3" spans="1:21" ht="12" customHeight="1" x14ac:dyDescent="0.2">
      <c r="A3" s="36" t="s">
        <v>107</v>
      </c>
      <c r="B3" s="221"/>
      <c r="C3" s="75"/>
      <c r="D3" s="75"/>
      <c r="E3" s="75"/>
      <c r="F3" s="35"/>
      <c r="G3" s="75"/>
      <c r="H3" s="75"/>
      <c r="I3" s="75"/>
      <c r="J3" s="75"/>
      <c r="K3" s="75"/>
      <c r="L3" s="75"/>
      <c r="M3" s="75"/>
      <c r="N3" s="75"/>
      <c r="O3" s="75"/>
      <c r="P3" s="75"/>
      <c r="Q3" s="75"/>
      <c r="R3" s="35"/>
      <c r="S3" s="35"/>
      <c r="T3" s="35"/>
      <c r="U3" s="35"/>
    </row>
    <row r="4" spans="1:21" ht="12" customHeight="1" x14ac:dyDescent="0.2">
      <c r="A4" s="36" t="s">
        <v>191</v>
      </c>
      <c r="B4" s="33" t="s">
        <v>195</v>
      </c>
      <c r="C4" s="75"/>
      <c r="D4" s="75"/>
      <c r="E4" s="75"/>
      <c r="F4" s="35"/>
      <c r="G4" s="75"/>
      <c r="H4" s="75"/>
      <c r="I4" s="75"/>
      <c r="J4" s="75"/>
      <c r="K4" s="75"/>
      <c r="L4" s="75"/>
      <c r="M4" s="75"/>
      <c r="N4" s="75"/>
      <c r="O4" s="75"/>
      <c r="P4" s="75"/>
      <c r="Q4" s="75"/>
      <c r="R4" s="35"/>
      <c r="S4" s="35"/>
      <c r="T4" s="35"/>
      <c r="U4" s="35"/>
    </row>
    <row r="5" spans="1:21" ht="12" customHeight="1" x14ac:dyDescent="0.25">
      <c r="A5" s="39" t="s">
        <v>180</v>
      </c>
      <c r="B5" s="34">
        <v>0</v>
      </c>
      <c r="C5" s="36" t="s">
        <v>0</v>
      </c>
      <c r="D5" s="75"/>
      <c r="E5" s="75"/>
      <c r="F5" s="35"/>
      <c r="G5" s="75"/>
      <c r="H5" s="75"/>
      <c r="I5" s="75"/>
      <c r="J5" s="75"/>
      <c r="K5" s="75"/>
      <c r="L5" s="75"/>
      <c r="M5" s="75"/>
      <c r="N5" s="75"/>
      <c r="O5" s="75"/>
      <c r="P5" s="75"/>
      <c r="Q5" s="75"/>
      <c r="R5" s="35"/>
      <c r="S5" s="35"/>
      <c r="T5" s="35"/>
      <c r="U5" s="35"/>
    </row>
    <row r="6" spans="1:21" s="195" customFormat="1" ht="12" customHeight="1" x14ac:dyDescent="0.2">
      <c r="A6" s="75"/>
      <c r="B6" s="75"/>
      <c r="C6" s="75"/>
      <c r="D6" s="75"/>
      <c r="E6" s="75"/>
      <c r="F6" s="75"/>
      <c r="G6" s="75"/>
      <c r="H6" s="75"/>
      <c r="I6" s="75"/>
      <c r="J6" s="75"/>
      <c r="K6" s="75"/>
      <c r="L6" s="75"/>
      <c r="M6" s="75"/>
      <c r="N6" s="75"/>
      <c r="O6" s="75"/>
      <c r="P6" s="75"/>
      <c r="Q6" s="75"/>
      <c r="R6" s="75"/>
      <c r="S6" s="35"/>
      <c r="T6" s="35"/>
      <c r="U6" s="35"/>
    </row>
    <row r="7" spans="1:21" s="193" customFormat="1" ht="12" customHeight="1" x14ac:dyDescent="0.2">
      <c r="A7" s="65"/>
      <c r="B7" s="237" t="s">
        <v>181</v>
      </c>
      <c r="C7" s="237"/>
      <c r="D7" s="237"/>
      <c r="E7" s="76"/>
      <c r="F7" s="238" t="s">
        <v>182</v>
      </c>
      <c r="G7" s="237"/>
      <c r="H7" s="237"/>
      <c r="I7" s="76"/>
      <c r="J7" s="237" t="s">
        <v>183</v>
      </c>
      <c r="K7" s="237"/>
      <c r="L7" s="237"/>
      <c r="M7" s="76"/>
      <c r="N7" s="237" t="s">
        <v>184</v>
      </c>
      <c r="O7" s="237"/>
      <c r="P7" s="237"/>
      <c r="Q7" s="76"/>
      <c r="R7" s="238" t="s">
        <v>5</v>
      </c>
      <c r="S7" s="238"/>
      <c r="T7" s="238"/>
      <c r="U7" s="238"/>
    </row>
    <row r="8" spans="1:21" s="195" customFormat="1" ht="12" customHeight="1" x14ac:dyDescent="0.2">
      <c r="A8" s="72" t="s">
        <v>129</v>
      </c>
      <c r="B8" s="77">
        <f>'Projectgegevens en Resultaten'!$B$17</f>
        <v>0</v>
      </c>
      <c r="C8" s="183"/>
      <c r="D8" s="183"/>
      <c r="E8" s="183"/>
      <c r="F8" s="184" t="str">
        <f>o_Orientatie(F9)</f>
        <v>Oost</v>
      </c>
      <c r="G8" s="183"/>
      <c r="H8" s="183"/>
      <c r="I8" s="183"/>
      <c r="J8" s="184" t="str">
        <f>o_Orientatie(J9)</f>
        <v>Zuid</v>
      </c>
      <c r="K8" s="185"/>
      <c r="L8" s="185"/>
      <c r="M8" s="185"/>
      <c r="N8" s="184" t="str">
        <f>o_Orientatie(N9)</f>
        <v>West</v>
      </c>
      <c r="O8" s="185"/>
      <c r="P8" s="185"/>
      <c r="Q8" s="185"/>
      <c r="R8" s="186" t="s">
        <v>62</v>
      </c>
      <c r="S8" s="79"/>
      <c r="T8" s="78"/>
      <c r="U8" s="78"/>
    </row>
    <row r="9" spans="1:21" ht="12" hidden="1" customHeight="1" x14ac:dyDescent="0.2">
      <c r="A9" s="70" t="s">
        <v>132</v>
      </c>
      <c r="B9" s="80" cm="1">
        <f t="array" ref="B9">o_OrientatiehOEK(B8)</f>
        <v>0</v>
      </c>
      <c r="C9" s="187"/>
      <c r="D9" s="187"/>
      <c r="E9" s="187"/>
      <c r="F9" s="80">
        <f>IF(B9+90&gt;360,B9+90-360,B9+90)</f>
        <v>90</v>
      </c>
      <c r="G9" s="188"/>
      <c r="H9" s="188"/>
      <c r="I9" s="188"/>
      <c r="J9" s="80">
        <f>IF(F9+90&gt;360,F9+90-360,F9+90)</f>
        <v>180</v>
      </c>
      <c r="K9" s="185"/>
      <c r="L9" s="185"/>
      <c r="M9" s="185"/>
      <c r="N9" s="80">
        <f>IF(J9+90&gt;360,J9+90-360,J9+90)</f>
        <v>270</v>
      </c>
      <c r="O9" s="185"/>
      <c r="P9" s="185"/>
      <c r="Q9" s="185"/>
      <c r="R9" s="188"/>
      <c r="S9" s="79"/>
      <c r="T9" s="104"/>
      <c r="U9" s="104"/>
    </row>
    <row r="10" spans="1:21" s="195" customFormat="1" x14ac:dyDescent="0.2">
      <c r="A10" s="70" t="s">
        <v>102</v>
      </c>
      <c r="B10" s="44" t="s">
        <v>101</v>
      </c>
      <c r="C10" s="187"/>
      <c r="D10" s="187"/>
      <c r="E10" s="187"/>
      <c r="F10" s="44" t="s">
        <v>101</v>
      </c>
      <c r="G10" s="187"/>
      <c r="H10" s="187"/>
      <c r="I10" s="187"/>
      <c r="J10" s="44" t="s">
        <v>101</v>
      </c>
      <c r="K10" s="189"/>
      <c r="L10" s="189"/>
      <c r="M10" s="189"/>
      <c r="N10" s="44" t="s">
        <v>101</v>
      </c>
      <c r="O10" s="189"/>
      <c r="P10" s="189"/>
      <c r="Q10" s="189"/>
      <c r="R10" s="44" t="s">
        <v>101</v>
      </c>
      <c r="S10" s="82"/>
      <c r="T10" s="81"/>
      <c r="U10" s="81"/>
    </row>
    <row r="11" spans="1:21" s="195" customFormat="1" ht="12" customHeight="1" x14ac:dyDescent="0.2">
      <c r="A11" s="70" t="s">
        <v>133</v>
      </c>
      <c r="B11" s="210">
        <v>90</v>
      </c>
      <c r="C11" s="214" t="s">
        <v>103</v>
      </c>
      <c r="D11" s="210"/>
      <c r="E11" s="219"/>
      <c r="F11" s="210">
        <v>90</v>
      </c>
      <c r="G11" s="214" t="s">
        <v>103</v>
      </c>
      <c r="H11" s="210"/>
      <c r="I11" s="214"/>
      <c r="J11" s="210">
        <v>90</v>
      </c>
      <c r="K11" s="214" t="s">
        <v>103</v>
      </c>
      <c r="L11" s="210"/>
      <c r="M11" s="214"/>
      <c r="N11" s="210">
        <v>90</v>
      </c>
      <c r="O11" s="214" t="s">
        <v>103</v>
      </c>
      <c r="P11" s="210"/>
      <c r="Q11" s="210"/>
      <c r="R11" s="211">
        <v>0</v>
      </c>
      <c r="S11" s="214" t="s">
        <v>103</v>
      </c>
      <c r="T11" s="210"/>
      <c r="U11" s="214"/>
    </row>
    <row r="12" spans="1:21" s="195" customFormat="1" ht="12" customHeight="1" x14ac:dyDescent="0.2">
      <c r="A12" s="70" t="s">
        <v>130</v>
      </c>
      <c r="B12" s="211" t="str" cm="1">
        <f t="array" ref="B12">o_TypeConstructie(B10,B11)</f>
        <v>Woningscheidend</v>
      </c>
      <c r="C12" s="211"/>
      <c r="D12" s="211"/>
      <c r="E12" s="209"/>
      <c r="F12" s="211" t="str" cm="1">
        <f t="array" ref="F12">o_TypeConstructie(F10,F11)</f>
        <v>Woningscheidend</v>
      </c>
      <c r="G12" s="209"/>
      <c r="H12" s="211"/>
      <c r="I12" s="209"/>
      <c r="J12" s="211" t="str" cm="1">
        <f t="array" ref="J12">o_TypeConstructie(J10,J11)</f>
        <v>Woningscheidend</v>
      </c>
      <c r="K12" s="209"/>
      <c r="L12" s="211"/>
      <c r="M12" s="209"/>
      <c r="N12" s="211" t="str" cm="1">
        <f t="array" ref="N12">o_TypeConstructie(N10,N11)</f>
        <v>Woningscheidend</v>
      </c>
      <c r="O12" s="209"/>
      <c r="P12" s="211"/>
      <c r="Q12" s="211"/>
      <c r="R12" s="211" t="str" cm="1">
        <f t="array" ref="R12">o_TypeConstructie(R10,R11)</f>
        <v>Woningscheidend</v>
      </c>
      <c r="S12" s="207"/>
      <c r="T12" s="210"/>
      <c r="U12" s="214"/>
    </row>
    <row r="13" spans="1:21" s="195" customFormat="1" ht="12" customHeight="1" x14ac:dyDescent="0.2">
      <c r="A13" s="70" t="s">
        <v>127</v>
      </c>
      <c r="B13" s="207"/>
      <c r="C13" s="207" t="s">
        <v>1</v>
      </c>
      <c r="D13" s="207"/>
      <c r="E13" s="208"/>
      <c r="F13" s="207"/>
      <c r="G13" s="207" t="s">
        <v>1</v>
      </c>
      <c r="H13" s="207"/>
      <c r="I13" s="208"/>
      <c r="J13" s="207"/>
      <c r="K13" s="207" t="s">
        <v>1</v>
      </c>
      <c r="L13" s="207"/>
      <c r="M13" s="208"/>
      <c r="N13" s="207"/>
      <c r="O13" s="207" t="s">
        <v>1</v>
      </c>
      <c r="P13" s="207"/>
      <c r="Q13" s="208"/>
      <c r="R13" s="207"/>
      <c r="S13" s="207" t="s">
        <v>1</v>
      </c>
      <c r="T13" s="208"/>
      <c r="U13" s="208"/>
    </row>
    <row r="14" spans="1:21" s="195" customFormat="1" ht="12" customHeight="1" x14ac:dyDescent="0.2">
      <c r="A14" s="83" t="s">
        <v>128</v>
      </c>
      <c r="B14" s="207"/>
      <c r="C14" s="207" t="s">
        <v>1</v>
      </c>
      <c r="D14" s="207"/>
      <c r="E14" s="208"/>
      <c r="F14" s="207"/>
      <c r="G14" s="207" t="s">
        <v>1</v>
      </c>
      <c r="H14" s="207"/>
      <c r="I14" s="208"/>
      <c r="J14" s="207"/>
      <c r="K14" s="207" t="s">
        <v>1</v>
      </c>
      <c r="L14" s="207"/>
      <c r="M14" s="208"/>
      <c r="N14" s="207"/>
      <c r="O14" s="207" t="s">
        <v>1</v>
      </c>
      <c r="P14" s="207"/>
      <c r="Q14" s="208"/>
      <c r="R14" s="207"/>
      <c r="S14" s="207" t="s">
        <v>1</v>
      </c>
      <c r="T14" s="208"/>
      <c r="U14" s="208"/>
    </row>
    <row r="15" spans="1:21" s="195" customFormat="1" ht="12" customHeight="1" x14ac:dyDescent="0.2">
      <c r="A15" s="36" t="s">
        <v>104</v>
      </c>
      <c r="B15" s="208">
        <f>B13*B14</f>
        <v>0</v>
      </c>
      <c r="C15" s="208" t="s">
        <v>0</v>
      </c>
      <c r="D15" s="208"/>
      <c r="E15" s="208"/>
      <c r="F15" s="208">
        <f>F13*F14</f>
        <v>0</v>
      </c>
      <c r="G15" s="208" t="s">
        <v>0</v>
      </c>
      <c r="H15" s="208"/>
      <c r="I15" s="208"/>
      <c r="J15" s="208">
        <f>J13*J14</f>
        <v>0</v>
      </c>
      <c r="K15" s="208" t="s">
        <v>0</v>
      </c>
      <c r="L15" s="208"/>
      <c r="M15" s="208"/>
      <c r="N15" s="208">
        <f>N13*N14</f>
        <v>0</v>
      </c>
      <c r="O15" s="208" t="s">
        <v>0</v>
      </c>
      <c r="P15" s="208"/>
      <c r="Q15" s="208"/>
      <c r="R15" s="208">
        <f>R13*R14</f>
        <v>0</v>
      </c>
      <c r="S15" s="207" t="s">
        <v>0</v>
      </c>
      <c r="T15" s="208"/>
      <c r="U15" s="208"/>
    </row>
    <row r="16" spans="1:21" s="195" customFormat="1" ht="12" customHeight="1" x14ac:dyDescent="0.2">
      <c r="A16" s="36" t="s">
        <v>105</v>
      </c>
      <c r="B16" s="208">
        <f>MAX(0,B15-B18-D18)</f>
        <v>0</v>
      </c>
      <c r="C16" s="208" t="s">
        <v>0</v>
      </c>
      <c r="D16" s="208"/>
      <c r="E16" s="208"/>
      <c r="F16" s="208">
        <f>MAX(0,F15-F18-H18)</f>
        <v>0</v>
      </c>
      <c r="G16" s="208" t="s">
        <v>0</v>
      </c>
      <c r="H16" s="208"/>
      <c r="I16" s="208"/>
      <c r="J16" s="208">
        <f>MAX(0,J15-J18-L18)</f>
        <v>0</v>
      </c>
      <c r="K16" s="208" t="s">
        <v>0</v>
      </c>
      <c r="L16" s="208"/>
      <c r="M16" s="208"/>
      <c r="N16" s="208">
        <f>MAX(0,N15-N18-P18)</f>
        <v>0</v>
      </c>
      <c r="O16" s="208" t="s">
        <v>0</v>
      </c>
      <c r="P16" s="210"/>
      <c r="Q16" s="210"/>
      <c r="R16" s="208">
        <f>MAX(0,R15-R18-T18)</f>
        <v>0</v>
      </c>
      <c r="S16" s="207" t="s">
        <v>0</v>
      </c>
      <c r="T16" s="208"/>
      <c r="U16" s="208"/>
    </row>
    <row r="17" spans="1:21" s="195" customFormat="1" ht="12" customHeight="1" x14ac:dyDescent="0.2">
      <c r="A17" s="75"/>
      <c r="B17" s="215" t="s">
        <v>123</v>
      </c>
      <c r="C17" s="84"/>
      <c r="D17" s="215" t="s">
        <v>124</v>
      </c>
      <c r="E17" s="84"/>
      <c r="F17" s="215" t="s">
        <v>123</v>
      </c>
      <c r="G17" s="84"/>
      <c r="H17" s="215" t="s">
        <v>124</v>
      </c>
      <c r="I17" s="84"/>
      <c r="J17" s="215" t="s">
        <v>123</v>
      </c>
      <c r="K17" s="84"/>
      <c r="L17" s="215" t="s">
        <v>124</v>
      </c>
      <c r="M17" s="84"/>
      <c r="N17" s="215" t="s">
        <v>123</v>
      </c>
      <c r="O17" s="84"/>
      <c r="P17" s="215" t="s">
        <v>124</v>
      </c>
      <c r="Q17" s="84"/>
      <c r="R17" s="215" t="s">
        <v>123</v>
      </c>
      <c r="S17" s="84"/>
      <c r="T17" s="215" t="s">
        <v>124</v>
      </c>
      <c r="U17" s="84"/>
    </row>
    <row r="18" spans="1:21" s="195" customFormat="1" ht="12" customHeight="1" x14ac:dyDescent="0.25">
      <c r="A18" s="36" t="s">
        <v>218</v>
      </c>
      <c r="B18" s="209"/>
      <c r="C18" s="208" t="s">
        <v>0</v>
      </c>
      <c r="D18" s="210"/>
      <c r="E18" s="208" t="s">
        <v>0</v>
      </c>
      <c r="F18" s="210"/>
      <c r="G18" s="208" t="s">
        <v>0</v>
      </c>
      <c r="H18" s="210"/>
      <c r="I18" s="208" t="s">
        <v>0</v>
      </c>
      <c r="J18" s="210"/>
      <c r="K18" s="208" t="s">
        <v>0</v>
      </c>
      <c r="L18" s="210"/>
      <c r="M18" s="208" t="s">
        <v>0</v>
      </c>
      <c r="N18" s="210"/>
      <c r="O18" s="208" t="s">
        <v>0</v>
      </c>
      <c r="P18" s="210"/>
      <c r="Q18" s="208" t="s">
        <v>0</v>
      </c>
      <c r="R18" s="210"/>
      <c r="S18" s="208" t="s">
        <v>0</v>
      </c>
      <c r="T18" s="210"/>
      <c r="U18" s="208" t="s">
        <v>0</v>
      </c>
    </row>
    <row r="19" spans="1:21" s="195" customFormat="1" ht="12" customHeight="1" x14ac:dyDescent="0.25">
      <c r="A19" s="36" t="s">
        <v>134</v>
      </c>
      <c r="B19" s="209"/>
      <c r="C19" s="208" t="s">
        <v>98</v>
      </c>
      <c r="D19" s="210"/>
      <c r="E19" s="208" t="s">
        <v>98</v>
      </c>
      <c r="F19" s="210"/>
      <c r="G19" s="208" t="s">
        <v>98</v>
      </c>
      <c r="H19" s="210"/>
      <c r="I19" s="208" t="s">
        <v>98</v>
      </c>
      <c r="J19" s="210"/>
      <c r="K19" s="208" t="s">
        <v>98</v>
      </c>
      <c r="L19" s="210"/>
      <c r="M19" s="208" t="s">
        <v>98</v>
      </c>
      <c r="N19" s="210"/>
      <c r="O19" s="208" t="s">
        <v>98</v>
      </c>
      <c r="P19" s="210"/>
      <c r="Q19" s="208" t="s">
        <v>98</v>
      </c>
      <c r="R19" s="210"/>
      <c r="S19" s="208" t="s">
        <v>98</v>
      </c>
      <c r="T19" s="210"/>
      <c r="U19" s="208" t="s">
        <v>98</v>
      </c>
    </row>
    <row r="20" spans="1:21" s="195" customFormat="1" ht="12" customHeight="1" x14ac:dyDescent="0.2">
      <c r="A20" s="66" t="s">
        <v>221</v>
      </c>
      <c r="B20" s="209">
        <v>1</v>
      </c>
      <c r="C20" s="208"/>
      <c r="D20" s="210">
        <v>1</v>
      </c>
      <c r="E20" s="208"/>
      <c r="F20" s="210">
        <v>1</v>
      </c>
      <c r="G20" s="208"/>
      <c r="H20" s="210">
        <v>1</v>
      </c>
      <c r="I20" s="208"/>
      <c r="J20" s="210">
        <v>1</v>
      </c>
      <c r="K20" s="208"/>
      <c r="L20" s="210">
        <v>1</v>
      </c>
      <c r="M20" s="208"/>
      <c r="N20" s="210">
        <v>1</v>
      </c>
      <c r="O20" s="207"/>
      <c r="P20" s="210">
        <v>1</v>
      </c>
      <c r="Q20" s="208"/>
      <c r="R20" s="210">
        <v>1</v>
      </c>
      <c r="S20" s="207"/>
      <c r="T20" s="210">
        <v>1</v>
      </c>
      <c r="U20" s="208"/>
    </row>
    <row r="21" spans="1:21" s="195" customFormat="1" ht="12" customHeight="1" x14ac:dyDescent="0.2">
      <c r="A21" s="67" t="s">
        <v>219</v>
      </c>
      <c r="B21" s="220" t="s">
        <v>111</v>
      </c>
      <c r="C21" s="212"/>
      <c r="D21" s="220" t="s">
        <v>111</v>
      </c>
      <c r="E21" s="212"/>
      <c r="F21" s="220" t="s">
        <v>111</v>
      </c>
      <c r="G21" s="212"/>
      <c r="H21" s="220" t="s">
        <v>111</v>
      </c>
      <c r="I21" s="212"/>
      <c r="J21" s="220" t="s">
        <v>111</v>
      </c>
      <c r="K21" s="212"/>
      <c r="L21" s="220" t="s">
        <v>111</v>
      </c>
      <c r="M21" s="212"/>
      <c r="N21" s="220" t="s">
        <v>111</v>
      </c>
      <c r="O21" s="213"/>
      <c r="P21" s="220" t="s">
        <v>111</v>
      </c>
      <c r="Q21" s="212"/>
      <c r="R21" s="220" t="s">
        <v>111</v>
      </c>
      <c r="S21" s="213"/>
      <c r="T21" s="220" t="s">
        <v>111</v>
      </c>
      <c r="U21" s="208"/>
    </row>
    <row r="22" spans="1:21" s="195" customFormat="1" ht="68.25" customHeight="1" x14ac:dyDescent="0.2">
      <c r="A22" s="85"/>
      <c r="B22" s="208"/>
      <c r="C22" s="208"/>
      <c r="D22" s="208"/>
      <c r="E22" s="208"/>
      <c r="F22" s="208"/>
      <c r="G22" s="208"/>
      <c r="H22" s="208"/>
      <c r="I22" s="208"/>
      <c r="J22" s="208"/>
      <c r="K22" s="208"/>
      <c r="L22" s="208"/>
      <c r="M22" s="208"/>
      <c r="N22" s="208"/>
      <c r="O22" s="208"/>
      <c r="P22" s="208"/>
      <c r="Q22" s="208"/>
      <c r="R22" s="208"/>
      <c r="S22" s="207"/>
      <c r="T22" s="208"/>
      <c r="U22" s="208"/>
    </row>
    <row r="23" spans="1:21" s="195" customFormat="1" x14ac:dyDescent="0.2">
      <c r="A23" s="85"/>
      <c r="B23" s="215" t="s">
        <v>166</v>
      </c>
      <c r="C23" s="208"/>
      <c r="D23" s="215" t="s">
        <v>166</v>
      </c>
      <c r="E23" s="208"/>
      <c r="F23" s="215" t="s">
        <v>166</v>
      </c>
      <c r="G23" s="208"/>
      <c r="H23" s="215" t="s">
        <v>166</v>
      </c>
      <c r="I23" s="208"/>
      <c r="J23" s="215" t="s">
        <v>166</v>
      </c>
      <c r="K23" s="208"/>
      <c r="L23" s="215" t="s">
        <v>166</v>
      </c>
      <c r="M23" s="208"/>
      <c r="N23" s="215" t="s">
        <v>166</v>
      </c>
      <c r="O23" s="208"/>
      <c r="P23" s="215" t="s">
        <v>166</v>
      </c>
      <c r="Q23" s="208"/>
      <c r="R23" s="215"/>
      <c r="S23" s="208"/>
      <c r="T23" s="215"/>
      <c r="U23" s="208"/>
    </row>
    <row r="24" spans="1:21" s="195" customFormat="1" ht="12" customHeight="1" x14ac:dyDescent="0.2">
      <c r="A24" s="86" t="s">
        <v>120</v>
      </c>
      <c r="B24" s="216">
        <v>0</v>
      </c>
      <c r="C24" s="87" t="s">
        <v>1</v>
      </c>
      <c r="D24" s="216">
        <v>0</v>
      </c>
      <c r="E24" s="87" t="s">
        <v>1</v>
      </c>
      <c r="F24" s="216">
        <v>0</v>
      </c>
      <c r="G24" s="87" t="s">
        <v>1</v>
      </c>
      <c r="H24" s="216">
        <v>0</v>
      </c>
      <c r="I24" s="87" t="s">
        <v>1</v>
      </c>
      <c r="J24" s="216">
        <v>0</v>
      </c>
      <c r="K24" s="87" t="s">
        <v>1</v>
      </c>
      <c r="L24" s="216">
        <v>0</v>
      </c>
      <c r="M24" s="87" t="s">
        <v>1</v>
      </c>
      <c r="N24" s="216">
        <v>0</v>
      </c>
      <c r="O24" s="87" t="s">
        <v>1</v>
      </c>
      <c r="P24" s="216">
        <v>0</v>
      </c>
      <c r="Q24" s="87" t="s">
        <v>1</v>
      </c>
      <c r="R24" s="216">
        <v>0</v>
      </c>
      <c r="S24" s="87"/>
      <c r="T24" s="216">
        <v>0</v>
      </c>
      <c r="U24" s="87" t="s">
        <v>1</v>
      </c>
    </row>
    <row r="25" spans="1:21" s="195" customFormat="1" ht="12" customHeight="1" x14ac:dyDescent="0.2">
      <c r="A25" s="88" t="s">
        <v>121</v>
      </c>
      <c r="B25" s="216">
        <v>0</v>
      </c>
      <c r="C25" s="87" t="s">
        <v>1</v>
      </c>
      <c r="D25" s="216">
        <v>0</v>
      </c>
      <c r="E25" s="87" t="s">
        <v>1</v>
      </c>
      <c r="F25" s="216">
        <v>0</v>
      </c>
      <c r="G25" s="87" t="s">
        <v>1</v>
      </c>
      <c r="H25" s="216">
        <v>0</v>
      </c>
      <c r="I25" s="87" t="s">
        <v>1</v>
      </c>
      <c r="J25" s="216">
        <v>0</v>
      </c>
      <c r="K25" s="87" t="s">
        <v>1</v>
      </c>
      <c r="L25" s="216">
        <v>0</v>
      </c>
      <c r="M25" s="87" t="s">
        <v>1</v>
      </c>
      <c r="N25" s="216">
        <v>0</v>
      </c>
      <c r="O25" s="87" t="s">
        <v>1</v>
      </c>
      <c r="P25" s="216">
        <v>0</v>
      </c>
      <c r="Q25" s="87" t="s">
        <v>1</v>
      </c>
      <c r="R25" s="216">
        <v>0</v>
      </c>
      <c r="S25" s="87"/>
      <c r="T25" s="216">
        <v>0</v>
      </c>
      <c r="U25" s="87" t="s">
        <v>1</v>
      </c>
    </row>
    <row r="26" spans="1:21" s="195" customFormat="1" ht="12" customHeight="1" x14ac:dyDescent="0.2">
      <c r="A26" s="89" t="s">
        <v>163</v>
      </c>
      <c r="B26" s="217">
        <f>IFERROR(180/PI()*ATAN(B24/B25),0)</f>
        <v>0</v>
      </c>
      <c r="C26" s="90" t="s">
        <v>103</v>
      </c>
      <c r="D26" s="217">
        <f>IFERROR(180/PI()*ATAN(D24/D25),0)</f>
        <v>0</v>
      </c>
      <c r="E26" s="90" t="s">
        <v>103</v>
      </c>
      <c r="F26" s="217">
        <f>IFERROR(180/PI()*ATAN(F24/F25),0)</f>
        <v>0</v>
      </c>
      <c r="G26" s="90" t="s">
        <v>103</v>
      </c>
      <c r="H26" s="217">
        <f>IFERROR(180/PI()*ATAN(H24/H25),0)</f>
        <v>0</v>
      </c>
      <c r="I26" s="90" t="s">
        <v>103</v>
      </c>
      <c r="J26" s="217">
        <f>IFERROR(180/PI()*ATAN(J24/J25),0)</f>
        <v>0</v>
      </c>
      <c r="K26" s="90" t="s">
        <v>103</v>
      </c>
      <c r="L26" s="217">
        <f>IFERROR(180/PI()*ATAN(L24/L25),0)</f>
        <v>0</v>
      </c>
      <c r="M26" s="90" t="s">
        <v>103</v>
      </c>
      <c r="N26" s="217">
        <f>IFERROR(180/PI()*ATAN(N24/N25),0)</f>
        <v>0</v>
      </c>
      <c r="O26" s="90" t="s">
        <v>103</v>
      </c>
      <c r="P26" s="217">
        <f>IFERROR(180/PI()*ATAN(P24/P25),0)</f>
        <v>0</v>
      </c>
      <c r="Q26" s="90" t="s">
        <v>103</v>
      </c>
      <c r="R26" s="217"/>
      <c r="S26" s="90"/>
      <c r="T26" s="217"/>
      <c r="U26" s="90" t="s">
        <v>103</v>
      </c>
    </row>
    <row r="27" spans="1:21" s="195" customFormat="1" ht="12" customHeight="1" x14ac:dyDescent="0.2">
      <c r="A27" s="89" t="s">
        <v>119</v>
      </c>
      <c r="B27" s="216">
        <f>IFERROR(B24/B25,1)</f>
        <v>1</v>
      </c>
      <c r="C27" s="87"/>
      <c r="D27" s="216">
        <f>IFERROR(D24/D25,1)</f>
        <v>1</v>
      </c>
      <c r="E27" s="87"/>
      <c r="F27" s="216">
        <f>IFERROR(F24/F25,1)</f>
        <v>1</v>
      </c>
      <c r="G27" s="87"/>
      <c r="H27" s="216">
        <f>IFERROR(H24/H25,1)</f>
        <v>1</v>
      </c>
      <c r="I27" s="87"/>
      <c r="J27" s="216">
        <f>IFERROR(J24/J25,1)</f>
        <v>1</v>
      </c>
      <c r="K27" s="87"/>
      <c r="L27" s="216">
        <f>IFERROR(L24/L25,1)</f>
        <v>1</v>
      </c>
      <c r="M27" s="87"/>
      <c r="N27" s="216">
        <f>IFERROR(N24/N25,1)</f>
        <v>1</v>
      </c>
      <c r="O27" s="87"/>
      <c r="P27" s="216">
        <f>IFERROR(P24/P25,1)</f>
        <v>1</v>
      </c>
      <c r="Q27" s="87"/>
      <c r="R27" s="216"/>
      <c r="S27" s="87"/>
      <c r="T27" s="216"/>
      <c r="U27" s="87"/>
    </row>
    <row r="28" spans="1:21" s="195" customFormat="1" ht="101.25" customHeight="1" x14ac:dyDescent="0.2">
      <c r="A28" s="91"/>
      <c r="B28" s="208"/>
      <c r="C28" s="208"/>
      <c r="D28" s="208"/>
      <c r="E28" s="208"/>
      <c r="F28" s="208"/>
      <c r="G28" s="208"/>
      <c r="H28" s="208"/>
      <c r="I28" s="208"/>
      <c r="J28" s="208"/>
      <c r="K28" s="208"/>
      <c r="L28" s="208"/>
      <c r="M28" s="208"/>
      <c r="N28" s="208"/>
      <c r="O28" s="208"/>
      <c r="P28" s="208"/>
      <c r="Q28" s="208"/>
      <c r="R28" s="215"/>
      <c r="S28" s="215"/>
      <c r="T28" s="215"/>
      <c r="U28" s="208"/>
    </row>
    <row r="29" spans="1:21" s="195" customFormat="1" x14ac:dyDescent="0.2">
      <c r="A29" s="91"/>
      <c r="B29" s="215" t="s">
        <v>113</v>
      </c>
      <c r="C29" s="208"/>
      <c r="D29" s="215" t="s">
        <v>113</v>
      </c>
      <c r="E29" s="208"/>
      <c r="F29" s="215" t="s">
        <v>113</v>
      </c>
      <c r="G29" s="208"/>
      <c r="H29" s="215" t="s">
        <v>113</v>
      </c>
      <c r="I29" s="208"/>
      <c r="J29" s="215" t="s">
        <v>113</v>
      </c>
      <c r="K29" s="208"/>
      <c r="L29" s="215" t="s">
        <v>113</v>
      </c>
      <c r="M29" s="208"/>
      <c r="N29" s="215" t="s">
        <v>113</v>
      </c>
      <c r="O29" s="208"/>
      <c r="P29" s="215" t="s">
        <v>113</v>
      </c>
      <c r="Q29" s="208"/>
      <c r="R29" s="215"/>
      <c r="S29" s="215"/>
      <c r="T29" s="215"/>
      <c r="U29" s="208"/>
    </row>
    <row r="30" spans="1:21" s="195" customFormat="1" ht="12" customHeight="1" x14ac:dyDescent="0.2">
      <c r="A30" s="89" t="s">
        <v>158</v>
      </c>
      <c r="B30" s="216" t="s">
        <v>252</v>
      </c>
      <c r="C30" s="87"/>
      <c r="D30" s="216" t="s">
        <v>252</v>
      </c>
      <c r="E30" s="87"/>
      <c r="F30" s="216" t="s">
        <v>252</v>
      </c>
      <c r="G30" s="87"/>
      <c r="H30" s="216" t="s">
        <v>252</v>
      </c>
      <c r="I30" s="87"/>
      <c r="J30" s="216" t="s">
        <v>252</v>
      </c>
      <c r="K30" s="87"/>
      <c r="L30" s="216" t="s">
        <v>252</v>
      </c>
      <c r="M30" s="87"/>
      <c r="N30" s="216" t="s">
        <v>252</v>
      </c>
      <c r="O30" s="87"/>
      <c r="P30" s="216" t="s">
        <v>252</v>
      </c>
      <c r="Q30" s="87"/>
      <c r="R30" s="215" t="s">
        <v>252</v>
      </c>
      <c r="S30" s="215"/>
      <c r="T30" s="215" t="s">
        <v>252</v>
      </c>
      <c r="U30" s="87"/>
    </row>
    <row r="31" spans="1:21" s="195" customFormat="1" ht="12" customHeight="1" x14ac:dyDescent="0.2">
      <c r="A31" s="89" t="s">
        <v>155</v>
      </c>
      <c r="B31" s="216">
        <v>0</v>
      </c>
      <c r="C31" s="87" t="s">
        <v>1</v>
      </c>
      <c r="D31" s="216">
        <v>0</v>
      </c>
      <c r="E31" s="87" t="s">
        <v>1</v>
      </c>
      <c r="F31" s="216">
        <v>0</v>
      </c>
      <c r="G31" s="87" t="s">
        <v>1</v>
      </c>
      <c r="H31" s="216">
        <v>0</v>
      </c>
      <c r="I31" s="87" t="s">
        <v>1</v>
      </c>
      <c r="J31" s="216">
        <v>0</v>
      </c>
      <c r="K31" s="87" t="s">
        <v>1</v>
      </c>
      <c r="L31" s="216">
        <v>0</v>
      </c>
      <c r="M31" s="87" t="s">
        <v>1</v>
      </c>
      <c r="N31" s="216">
        <v>0</v>
      </c>
      <c r="O31" s="87" t="s">
        <v>1</v>
      </c>
      <c r="P31" s="216">
        <v>0</v>
      </c>
      <c r="Q31" s="87" t="s">
        <v>1</v>
      </c>
      <c r="R31" s="215">
        <v>0</v>
      </c>
      <c r="S31" s="215"/>
      <c r="T31" s="215">
        <v>0</v>
      </c>
      <c r="U31" s="87" t="s">
        <v>1</v>
      </c>
    </row>
    <row r="32" spans="1:21" s="195" customFormat="1" ht="12" customHeight="1" x14ac:dyDescent="0.2">
      <c r="A32" s="89" t="s">
        <v>156</v>
      </c>
      <c r="B32" s="216">
        <v>0</v>
      </c>
      <c r="C32" s="90" t="s">
        <v>1</v>
      </c>
      <c r="D32" s="216">
        <v>0</v>
      </c>
      <c r="E32" s="90" t="s">
        <v>1</v>
      </c>
      <c r="F32" s="216">
        <v>0</v>
      </c>
      <c r="G32" s="90" t="s">
        <v>1</v>
      </c>
      <c r="H32" s="216">
        <v>0</v>
      </c>
      <c r="I32" s="90" t="s">
        <v>1</v>
      </c>
      <c r="J32" s="216">
        <v>0</v>
      </c>
      <c r="K32" s="90" t="s">
        <v>1</v>
      </c>
      <c r="L32" s="216">
        <v>0</v>
      </c>
      <c r="M32" s="90" t="s">
        <v>1</v>
      </c>
      <c r="N32" s="216">
        <v>0</v>
      </c>
      <c r="O32" s="90" t="s">
        <v>1</v>
      </c>
      <c r="P32" s="216">
        <v>0</v>
      </c>
      <c r="Q32" s="90" t="s">
        <v>1</v>
      </c>
      <c r="R32" s="215">
        <v>0</v>
      </c>
      <c r="S32" s="215"/>
      <c r="T32" s="215">
        <v>0</v>
      </c>
      <c r="U32" s="87" t="s">
        <v>1</v>
      </c>
    </row>
    <row r="33" spans="1:21" s="195" customFormat="1" ht="12" customHeight="1" x14ac:dyDescent="0.25">
      <c r="A33" s="89" t="s">
        <v>157</v>
      </c>
      <c r="B33" s="216">
        <f>IFERROR(B31/B32,999)</f>
        <v>999</v>
      </c>
      <c r="C33" s="87"/>
      <c r="D33" s="216">
        <f>IFERROR(D31/D32,999)</f>
        <v>999</v>
      </c>
      <c r="E33" s="87"/>
      <c r="F33" s="216">
        <f>IFERROR(F31/F32,999)</f>
        <v>999</v>
      </c>
      <c r="G33" s="87"/>
      <c r="H33" s="216">
        <f>IFERROR(H31/H32,999)</f>
        <v>999</v>
      </c>
      <c r="I33" s="87"/>
      <c r="J33" s="216">
        <f>IFERROR(J31/J32,999)</f>
        <v>999</v>
      </c>
      <c r="K33" s="87"/>
      <c r="L33" s="216">
        <f>IFERROR(L31/L32,999)</f>
        <v>999</v>
      </c>
      <c r="M33" s="87"/>
      <c r="N33" s="216">
        <f>IFERROR(N31/N32,999)</f>
        <v>999</v>
      </c>
      <c r="O33" s="87"/>
      <c r="P33" s="216">
        <f>IFERROR(P31/P32,999)</f>
        <v>999</v>
      </c>
      <c r="Q33" s="87"/>
      <c r="R33" s="215"/>
      <c r="S33" s="215"/>
      <c r="T33" s="215"/>
      <c r="U33" s="87"/>
    </row>
    <row r="34" spans="1:21" s="195" customFormat="1" x14ac:dyDescent="0.2">
      <c r="A34" s="75"/>
      <c r="B34" s="84"/>
      <c r="C34" s="84"/>
      <c r="D34" s="84"/>
      <c r="E34" s="84"/>
      <c r="F34" s="84"/>
      <c r="G34" s="84"/>
      <c r="H34" s="84"/>
      <c r="I34" s="84"/>
      <c r="J34" s="84"/>
      <c r="K34" s="84"/>
      <c r="L34" s="84"/>
      <c r="M34" s="84"/>
      <c r="N34" s="84"/>
      <c r="O34" s="84"/>
      <c r="P34" s="84"/>
      <c r="Q34" s="84"/>
      <c r="R34" s="84"/>
      <c r="S34" s="84"/>
      <c r="T34" s="84"/>
      <c r="U34" s="84"/>
    </row>
    <row r="35" spans="1:21" s="195" customFormat="1" ht="12" customHeight="1" x14ac:dyDescent="0.25">
      <c r="A35" s="36" t="s">
        <v>135</v>
      </c>
      <c r="B35" s="216" cm="1">
        <f t="array" ref="B35">IFERROR(o_Beschaduwingreductie(B21,B8,B27,B30,B33,B11),1)</f>
        <v>1</v>
      </c>
      <c r="C35" s="208"/>
      <c r="D35" s="216" cm="1">
        <f t="array" ref="D35">IFERROR(o_Beschaduwingreductie(D21,B8,D27,D30,D33,B11),1)</f>
        <v>1</v>
      </c>
      <c r="E35" s="208"/>
      <c r="F35" s="216" cm="1">
        <f t="array" ref="F35">IFERROR(o_Beschaduwingreductie(F21,F8,F27,F30,F33,F11),1)</f>
        <v>1</v>
      </c>
      <c r="G35" s="208"/>
      <c r="H35" s="216" cm="1">
        <f t="array" ref="H35">IFERROR(o_Beschaduwingreductie(H21,F8,H27,H30,H33,F11),1)</f>
        <v>1</v>
      </c>
      <c r="I35" s="208"/>
      <c r="J35" s="216" cm="1">
        <f t="array" ref="J35">IFERROR(o_Beschaduwingreductie(J21,J8,J27,J30,J33,J11),1)</f>
        <v>1</v>
      </c>
      <c r="K35" s="208"/>
      <c r="L35" s="216" cm="1">
        <f t="array" ref="L35">IFERROR(o_Beschaduwingreductie(L21,J8,L27,L30,L33,J11),1)</f>
        <v>1</v>
      </c>
      <c r="M35" s="208"/>
      <c r="N35" s="216" cm="1">
        <f t="array" ref="N35">IFERROR(o_Beschaduwingreductie(N21,N8,N27,N30,N33,N11),1)</f>
        <v>1</v>
      </c>
      <c r="O35" s="208"/>
      <c r="P35" s="216" cm="1">
        <f t="array" ref="P35">IFERROR(o_Beschaduwingreductie(P21,N8,P27,P30,P33,N11),1)</f>
        <v>1</v>
      </c>
      <c r="Q35" s="208"/>
      <c r="R35" s="159" cm="1">
        <f t="array" ref="R35">o_Beschaduwingreductie(R21,R8,R27,R30,R33,R11)</f>
        <v>1</v>
      </c>
      <c r="S35" s="207"/>
      <c r="T35" s="216" cm="1">
        <f t="array" ref="T35">o_Beschaduwingreductie(T21,R8,T27,T30,T33,R11)</f>
        <v>1</v>
      </c>
      <c r="U35" s="208"/>
    </row>
    <row r="36" spans="1:21" s="195" customFormat="1" x14ac:dyDescent="0.2">
      <c r="A36" s="75"/>
      <c r="B36" s="84"/>
      <c r="C36" s="84"/>
      <c r="D36" s="84"/>
      <c r="E36" s="84"/>
      <c r="F36" s="84"/>
      <c r="G36" s="84"/>
      <c r="H36" s="84"/>
      <c r="I36" s="84"/>
      <c r="J36" s="84"/>
      <c r="K36" s="84"/>
      <c r="L36" s="84"/>
      <c r="M36" s="84"/>
      <c r="N36" s="84"/>
      <c r="O36" s="84"/>
      <c r="P36" s="84"/>
      <c r="Q36" s="84"/>
      <c r="R36" s="84"/>
      <c r="S36" s="84"/>
      <c r="T36" s="84"/>
      <c r="U36" s="84"/>
    </row>
    <row r="37" spans="1:21" s="195" customFormat="1" ht="12" customHeight="1" x14ac:dyDescent="0.2">
      <c r="A37" s="36" t="s">
        <v>82</v>
      </c>
      <c r="B37" s="220" t="s">
        <v>84</v>
      </c>
      <c r="C37" s="218"/>
      <c r="D37" s="220" t="s">
        <v>84</v>
      </c>
      <c r="E37" s="212"/>
      <c r="F37" s="220" t="s">
        <v>84</v>
      </c>
      <c r="G37" s="218"/>
      <c r="H37" s="220" t="s">
        <v>84</v>
      </c>
      <c r="I37" s="212"/>
      <c r="J37" s="220" t="s">
        <v>84</v>
      </c>
      <c r="K37" s="218"/>
      <c r="L37" s="220" t="s">
        <v>84</v>
      </c>
      <c r="M37" s="212"/>
      <c r="N37" s="220" t="s">
        <v>84</v>
      </c>
      <c r="O37" s="218"/>
      <c r="P37" s="220" t="s">
        <v>84</v>
      </c>
      <c r="Q37" s="212"/>
      <c r="R37" s="220" t="s">
        <v>84</v>
      </c>
      <c r="S37" s="218"/>
      <c r="T37" s="220" t="s">
        <v>84</v>
      </c>
      <c r="U37" s="208"/>
    </row>
    <row r="38" spans="1:21" s="195" customFormat="1" ht="12" customHeight="1" x14ac:dyDescent="0.25">
      <c r="A38" s="36" t="s">
        <v>136</v>
      </c>
      <c r="B38" s="159" cm="1">
        <f t="array" ref="B38">o_Zonweringreductie(B37,B8)</f>
        <v>1</v>
      </c>
      <c r="C38" s="208"/>
      <c r="D38" s="159" cm="1">
        <f t="array" ref="D38">o_Zonweringreductie(D37,B8)</f>
        <v>1</v>
      </c>
      <c r="E38" s="208"/>
      <c r="F38" s="159" cm="1">
        <f t="array" ref="F38">o_Zonweringreductie(F37,F8)</f>
        <v>1</v>
      </c>
      <c r="G38" s="208"/>
      <c r="H38" s="159" cm="1">
        <f t="array" ref="H38">o_Zonweringreductie(H37,F8)</f>
        <v>1</v>
      </c>
      <c r="I38" s="208"/>
      <c r="J38" s="159" cm="1">
        <f t="array" ref="J38">o_Zonweringreductie(J37,J8)</f>
        <v>1</v>
      </c>
      <c r="K38" s="208"/>
      <c r="L38" s="159" cm="1">
        <f t="array" ref="L38">o_Zonweringreductie(L37,J8)</f>
        <v>1</v>
      </c>
      <c r="M38" s="208"/>
      <c r="N38" s="159" cm="1">
        <f t="array" ref="N38">o_Zonweringreductie(N37,N8)</f>
        <v>1</v>
      </c>
      <c r="O38" s="208"/>
      <c r="P38" s="159" cm="1">
        <f t="array" ref="P38">o_Zonweringreductie(P37,N8)</f>
        <v>1</v>
      </c>
      <c r="Q38" s="208"/>
      <c r="R38" s="159" cm="1">
        <f t="array" ref="R38">o_Zonweringreductie(R37,R8)</f>
        <v>1</v>
      </c>
      <c r="S38" s="208"/>
      <c r="T38" s="159" cm="1">
        <f t="array" ref="T38">o_Zonweringreductie(T37,R8)</f>
        <v>1</v>
      </c>
      <c r="U38" s="208"/>
    </row>
    <row r="39" spans="1:21" s="195" customFormat="1" ht="12" customHeight="1" x14ac:dyDescent="0.25">
      <c r="A39" s="36" t="s">
        <v>137</v>
      </c>
      <c r="B39" s="159" cm="1">
        <f t="array" ref="B39">IF(B10="Nee",0,o_Isol_Bij_Tijdstip($B$52,B8,B11))</f>
        <v>0</v>
      </c>
      <c r="C39" s="208" t="s">
        <v>12</v>
      </c>
      <c r="D39" s="159" cm="1">
        <f t="array" ref="D39">IF(B10="Nee",0,o_Isol_Bij_Tijdstip($B$52,B8,B11))</f>
        <v>0</v>
      </c>
      <c r="E39" s="208" t="s">
        <v>12</v>
      </c>
      <c r="F39" s="159" cm="1">
        <f t="array" ref="F39">IF(F10="Nee",0,o_Isol_Bij_Tijdstip($B$52,F8,F11))</f>
        <v>0</v>
      </c>
      <c r="G39" s="208" t="s">
        <v>12</v>
      </c>
      <c r="H39" s="159" cm="1">
        <f t="array" ref="H39">IF(F10="Nee",0,o_Isol_Bij_Tijdstip($B$52,F8,F11))</f>
        <v>0</v>
      </c>
      <c r="I39" s="208" t="s">
        <v>12</v>
      </c>
      <c r="J39" s="159" cm="1">
        <f t="array" ref="J39">IF(J10="Nee",0,o_Isol_Bij_Tijdstip($B$52,J8,J11))</f>
        <v>0</v>
      </c>
      <c r="K39" s="208" t="s">
        <v>12</v>
      </c>
      <c r="L39" s="159" cm="1">
        <f t="array" ref="L39">IF(J10="Nee",0,o_Isol_Bij_Tijdstip($B$52,J8,J11))</f>
        <v>0</v>
      </c>
      <c r="M39" s="208" t="s">
        <v>12</v>
      </c>
      <c r="N39" s="159" cm="1">
        <f t="array" ref="N39">IF(N10="Nee",0,o_Isol_Bij_Tijdstip($B$52,N8,N11))</f>
        <v>0</v>
      </c>
      <c r="O39" s="208" t="s">
        <v>12</v>
      </c>
      <c r="P39" s="159" cm="1">
        <f t="array" ref="P39">IF(N10="Nee",0,o_Isol_Bij_Tijdstip($B$52,N8,N11))</f>
        <v>0</v>
      </c>
      <c r="Q39" s="208" t="s">
        <v>12</v>
      </c>
      <c r="R39" s="159" cm="1">
        <f t="array" ref="R39">IF(R10="Nee",0,o_Isol_Bij_Tijdstip($B$52,R8,R11))</f>
        <v>0</v>
      </c>
      <c r="S39" s="208" t="s">
        <v>12</v>
      </c>
      <c r="T39" s="159" cm="1">
        <f t="array" ref="T39">IF(R10="Nee",0,o_Isol_Bij_Tijdstip($B$52,R8,R11))</f>
        <v>0</v>
      </c>
      <c r="U39" s="208" t="s">
        <v>12</v>
      </c>
    </row>
    <row r="40" spans="1:21" s="195" customFormat="1" x14ac:dyDescent="0.2">
      <c r="A40" s="75"/>
      <c r="B40" s="84"/>
      <c r="C40" s="84"/>
      <c r="D40" s="84"/>
      <c r="E40" s="84"/>
      <c r="F40" s="84"/>
      <c r="G40" s="84"/>
      <c r="H40" s="84"/>
      <c r="I40" s="84"/>
      <c r="J40" s="84"/>
      <c r="K40" s="84"/>
      <c r="L40" s="84"/>
      <c r="M40" s="84"/>
      <c r="N40" s="84"/>
      <c r="O40" s="84"/>
      <c r="P40" s="84"/>
      <c r="Q40" s="84"/>
      <c r="R40" s="84"/>
      <c r="S40" s="84"/>
      <c r="T40" s="84"/>
      <c r="U40" s="84"/>
    </row>
    <row r="41" spans="1:21" s="195" customFormat="1" ht="12" customHeight="1" x14ac:dyDescent="0.25">
      <c r="A41" s="66" t="s">
        <v>138</v>
      </c>
      <c r="B41" s="239" t="e" cm="1">
        <f t="array" ref="B41">VALUE(o_Tijdstip_Isol_Max_Orientatie(B8,B11))</f>
        <v>#VALUE!</v>
      </c>
      <c r="C41" s="239"/>
      <c r="D41" s="240"/>
      <c r="E41" s="87"/>
      <c r="F41" s="239" cm="1">
        <f t="array" ref="F41">VALUE(o_Tijdstip_Isol_Max_Orientatie(F8,F11))</f>
        <v>0.375</v>
      </c>
      <c r="G41" s="239"/>
      <c r="H41" s="240"/>
      <c r="I41" s="87"/>
      <c r="J41" s="239" cm="1">
        <f t="array" ref="J41">VALUE(o_Tijdstip_Isol_Max_Orientatie(J8,J11))</f>
        <v>0.58333333333333337</v>
      </c>
      <c r="K41" s="239"/>
      <c r="L41" s="240"/>
      <c r="M41" s="87"/>
      <c r="N41" s="239" cm="1">
        <f t="array" ref="N41">VALUE(o_Tijdstip_Isol_Max_Orientatie(N8,N11))</f>
        <v>0.625</v>
      </c>
      <c r="O41" s="239"/>
      <c r="P41" s="240"/>
      <c r="Q41" s="87"/>
      <c r="R41" s="239" cm="1">
        <f t="array" ref="R41">VALUE(o_Tijdstip_Isol_Max_Orientatie(R8,R11))</f>
        <v>0.5</v>
      </c>
      <c r="S41" s="239"/>
      <c r="T41" s="240"/>
      <c r="U41" s="84"/>
    </row>
    <row r="42" spans="1:21" s="195" customFormat="1" ht="12" customHeight="1" x14ac:dyDescent="0.25">
      <c r="A42" s="66" t="s">
        <v>139</v>
      </c>
      <c r="B42" s="241" t="e" cm="1">
        <f t="array" ref="B42">o_maxTemp(o_Tijdstip_Isol_Max_Orientatie(B8,B11))</f>
        <v>#VALUE!</v>
      </c>
      <c r="C42" s="241"/>
      <c r="D42" s="241"/>
      <c r="E42" s="207" t="s">
        <v>2</v>
      </c>
      <c r="F42" s="241" cm="1">
        <f t="array" ref="F42">o_maxTemp(o_Tijdstip_Isol_Max_Orientatie(F8,F11))</f>
        <v>24.7</v>
      </c>
      <c r="G42" s="241"/>
      <c r="H42" s="241"/>
      <c r="I42" s="207" t="s">
        <v>2</v>
      </c>
      <c r="J42" s="241" cm="1">
        <f t="array" ref="J42">o_maxTemp(o_Tijdstip_Isol_Max_Orientatie(J8,J11))</f>
        <v>29.9</v>
      </c>
      <c r="K42" s="241"/>
      <c r="L42" s="241"/>
      <c r="M42" s="207" t="s">
        <v>2</v>
      </c>
      <c r="N42" s="241" cm="1">
        <f t="array" ref="N42">o_maxTemp(o_Tijdstip_Isol_Max_Orientatie(N8,N11))</f>
        <v>29.8</v>
      </c>
      <c r="O42" s="241"/>
      <c r="P42" s="241"/>
      <c r="Q42" s="207" t="s">
        <v>2</v>
      </c>
      <c r="R42" s="241" cm="1">
        <f t="array" ref="R42">o_maxTemp(o_Tijdstip_Isol_Max_Orientatie(R8,R11))</f>
        <v>28.9</v>
      </c>
      <c r="S42" s="241"/>
      <c r="T42" s="241"/>
      <c r="U42" s="84"/>
    </row>
    <row r="43" spans="1:21" s="195" customFormat="1" ht="12" customHeight="1" x14ac:dyDescent="0.2">
      <c r="A43" s="75"/>
      <c r="B43" s="75"/>
      <c r="C43" s="75"/>
      <c r="D43" s="75"/>
      <c r="E43" s="35"/>
      <c r="F43" s="75"/>
      <c r="G43" s="75"/>
      <c r="H43" s="75"/>
      <c r="I43" s="75"/>
      <c r="J43" s="75"/>
      <c r="K43" s="75"/>
      <c r="L43" s="75"/>
      <c r="M43" s="75"/>
      <c r="N43" s="75"/>
      <c r="O43" s="75"/>
      <c r="P43" s="75"/>
      <c r="Q43" s="75"/>
      <c r="R43" s="75"/>
      <c r="S43" s="75"/>
      <c r="T43" s="84"/>
      <c r="U43" s="84"/>
    </row>
    <row r="44" spans="1:21" s="195" customFormat="1" ht="12" hidden="1" customHeight="1" x14ac:dyDescent="0.2">
      <c r="A44" s="92" t="s">
        <v>169</v>
      </c>
      <c r="B44" s="96">
        <f>IF(B10="Ja",B18+D18,0)</f>
        <v>0</v>
      </c>
      <c r="C44" s="35" t="s">
        <v>0</v>
      </c>
      <c r="D44" s="75"/>
      <c r="E44" s="35"/>
      <c r="F44" s="96">
        <f>IF(F10="Ja",F18+H18,0)</f>
        <v>0</v>
      </c>
      <c r="G44" s="35" t="s">
        <v>0</v>
      </c>
      <c r="H44" s="75"/>
      <c r="I44" s="75"/>
      <c r="J44" s="96">
        <f>IF(J10="Ja",J18+L18,0)</f>
        <v>0</v>
      </c>
      <c r="K44" s="35" t="s">
        <v>0</v>
      </c>
      <c r="L44" s="75"/>
      <c r="M44" s="75"/>
      <c r="N44" s="96">
        <f>IF(N10="Ja",N18+P18,0)</f>
        <v>0</v>
      </c>
      <c r="O44" s="35" t="s">
        <v>0</v>
      </c>
      <c r="P44" s="75"/>
      <c r="Q44" s="75"/>
      <c r="R44" s="96">
        <f>IF(R10="Ja",R18+T18,0)</f>
        <v>0</v>
      </c>
      <c r="S44" s="35" t="s">
        <v>0</v>
      </c>
      <c r="T44" s="84"/>
      <c r="U44" s="84"/>
    </row>
    <row r="45" spans="1:21" s="195" customFormat="1" ht="12" hidden="1" customHeight="1" x14ac:dyDescent="0.2">
      <c r="A45" s="92" t="s">
        <v>126</v>
      </c>
      <c r="B45" s="93" t="b">
        <f>IF(B10="Ja",IF(B8="Noord",FALSE,TRUE),FALSE)</f>
        <v>0</v>
      </c>
      <c r="C45" s="35"/>
      <c r="D45" s="35"/>
      <c r="E45" s="35"/>
      <c r="F45" s="94" t="b">
        <f>IF(F10="Ja",IF(F8="Noord",FALSE,TRUE),FALSE)</f>
        <v>0</v>
      </c>
      <c r="G45" s="75"/>
      <c r="H45" s="75"/>
      <c r="I45" s="75"/>
      <c r="J45" s="94" t="b">
        <f>IF(J10="Ja",IF(J8="Noord",FALSE,TRUE),FALSE)</f>
        <v>0</v>
      </c>
      <c r="K45" s="75"/>
      <c r="L45" s="75"/>
      <c r="M45" s="75"/>
      <c r="N45" s="94" t="b">
        <f>IF(N10="Ja",IF(N8="Noord",FALSE,TRUE),FALSE)</f>
        <v>0</v>
      </c>
      <c r="O45" s="75"/>
      <c r="P45" s="75"/>
      <c r="Q45" s="75"/>
      <c r="R45" s="94" t="b">
        <f>IF(R10="Ja",IF(R8="Noord",FALSE,TRUE),FALSE)</f>
        <v>0</v>
      </c>
      <c r="S45" s="75"/>
      <c r="T45" s="84"/>
      <c r="U45" s="84"/>
    </row>
    <row r="46" spans="1:21" s="195" customFormat="1" ht="12" hidden="1" customHeight="1" x14ac:dyDescent="0.2">
      <c r="A46" s="92" t="s">
        <v>109</v>
      </c>
      <c r="B46" s="95" t="b">
        <f>IF(AND(B45=TRUE,COUNTIF($B$45:$R$45,TRUE)=1),TRUE,FALSE)</f>
        <v>0</v>
      </c>
      <c r="C46" s="35"/>
      <c r="D46" s="75"/>
      <c r="E46" s="35"/>
      <c r="F46" s="95" t="b">
        <f>IF(AND(F45=TRUE,COUNTIF($B$45:$R$45,TRUE)=1),TRUE,FALSE)</f>
        <v>0</v>
      </c>
      <c r="G46" s="75"/>
      <c r="H46" s="75"/>
      <c r="I46" s="75"/>
      <c r="J46" s="95" t="b">
        <f>IF(AND(J45=TRUE,COUNTIF($B$45:$R$45,TRUE)=1),TRUE,FALSE)</f>
        <v>0</v>
      </c>
      <c r="K46" s="75"/>
      <c r="L46" s="75"/>
      <c r="M46" s="75"/>
      <c r="N46" s="95" t="b">
        <f>IF(AND(N45=TRUE,COUNTIF($B$45:$R$45,TRUE)=1),TRUE,FALSE)</f>
        <v>0</v>
      </c>
      <c r="O46" s="75"/>
      <c r="P46" s="75"/>
      <c r="Q46" s="75"/>
      <c r="R46" s="95" t="b">
        <f>IF(AND(R45=TRUE,COUNTIF($B$45:$R$45,TRUE)=1),TRUE,FALSE)</f>
        <v>0</v>
      </c>
      <c r="S46" s="75"/>
      <c r="T46" s="84"/>
      <c r="U46" s="84"/>
    </row>
    <row r="47" spans="1:21" s="195" customFormat="1" ht="12" hidden="1" customHeight="1" x14ac:dyDescent="0.2">
      <c r="A47" s="92" t="s">
        <v>152</v>
      </c>
      <c r="B47" s="96">
        <f>IF(B8&lt;&gt;"Noord",B44,0)</f>
        <v>0</v>
      </c>
      <c r="C47" s="35" t="s">
        <v>0</v>
      </c>
      <c r="D47" s="75"/>
      <c r="E47" s="35"/>
      <c r="F47" s="96">
        <f>IF(F8&lt;&gt;"Noord",F44,0)</f>
        <v>0</v>
      </c>
      <c r="G47" s="35" t="s">
        <v>0</v>
      </c>
      <c r="H47" s="75"/>
      <c r="I47" s="75"/>
      <c r="J47" s="96">
        <f>IF(J8&lt;&gt;"Noord",J44,0)</f>
        <v>0</v>
      </c>
      <c r="K47" s="35" t="s">
        <v>0</v>
      </c>
      <c r="L47" s="75"/>
      <c r="M47" s="75"/>
      <c r="N47" s="96">
        <f>IF(N8&lt;&gt;"Noord",N44,0)</f>
        <v>0</v>
      </c>
      <c r="O47" s="35" t="s">
        <v>0</v>
      </c>
      <c r="P47" s="75"/>
      <c r="Q47" s="75"/>
      <c r="R47" s="96">
        <f>R44</f>
        <v>0</v>
      </c>
      <c r="S47" s="35" t="s">
        <v>0</v>
      </c>
      <c r="T47" s="84"/>
      <c r="U47" s="84"/>
    </row>
    <row r="48" spans="1:21" s="195" customFormat="1" ht="12" hidden="1" customHeight="1" x14ac:dyDescent="0.2">
      <c r="A48" s="92" t="s">
        <v>153</v>
      </c>
      <c r="B48" s="97" t="b">
        <f>IF(AND(B45,B47=MAX($B$47:$R$47)),TRUE,FALSE)</f>
        <v>0</v>
      </c>
      <c r="C48" s="35"/>
      <c r="D48" s="75"/>
      <c r="E48" s="35"/>
      <c r="F48" s="97" t="b">
        <f>IF(AND(F45,F47=MAX($B$47:$R$47)),TRUE,FALSE)</f>
        <v>0</v>
      </c>
      <c r="G48" s="75"/>
      <c r="H48" s="75"/>
      <c r="I48" s="75"/>
      <c r="J48" s="97" t="b">
        <f>IF(AND(J45,J47=MAX($B$47:$R$47)),TRUE,FALSE)</f>
        <v>0</v>
      </c>
      <c r="K48" s="75"/>
      <c r="L48" s="75"/>
      <c r="M48" s="75"/>
      <c r="N48" s="97" t="b">
        <f>IF(AND(N45,N47=MAX($B$47:$R$47)),TRUE,FALSE)</f>
        <v>0</v>
      </c>
      <c r="O48" s="75"/>
      <c r="P48" s="75"/>
      <c r="Q48" s="75"/>
      <c r="R48" s="97" t="b">
        <f>IF(AND(R45,R47=MAX($B$47:$R$47)),TRUE,FALSE)</f>
        <v>0</v>
      </c>
      <c r="S48" s="75"/>
      <c r="T48" s="84"/>
      <c r="U48" s="84"/>
    </row>
    <row r="49" spans="1:21" s="195" customFormat="1" ht="12" hidden="1" customHeight="1" x14ac:dyDescent="0.2">
      <c r="A49" s="92" t="s">
        <v>125</v>
      </c>
      <c r="B49" s="98" t="e">
        <f>IF(AND(B11&lt;90,B15&gt;3*(B18+D18),'Projectgegevens en Resultaten'!#REF!&lt;65),TRUE,FALSE)</f>
        <v>#REF!</v>
      </c>
      <c r="C49" s="35"/>
      <c r="D49" s="35"/>
      <c r="E49" s="35"/>
      <c r="F49" s="98" t="e">
        <f>IF(AND(F11&lt;90,F15&gt;3*(F18+H18),'Projectgegevens en Resultaten'!#REF!&lt;65),TRUE,FALSE)</f>
        <v>#REF!</v>
      </c>
      <c r="G49" s="75"/>
      <c r="H49" s="75"/>
      <c r="I49" s="75"/>
      <c r="J49" s="98" t="e">
        <f>IF(AND(J11&lt;90,J15&gt;3*(J18+L18),'Projectgegevens en Resultaten'!#REF!&lt;65),TRUE,FALSE)</f>
        <v>#REF!</v>
      </c>
      <c r="K49" s="75"/>
      <c r="L49" s="75"/>
      <c r="M49" s="75"/>
      <c r="N49" s="98" t="e">
        <f>IF(AND(N11&lt;90,N15&gt;3*(N18+P18),'Projectgegevens en Resultaten'!#REF!&lt;65),TRUE,FALSE)</f>
        <v>#REF!</v>
      </c>
      <c r="O49" s="75"/>
      <c r="P49" s="75"/>
      <c r="Q49" s="75"/>
      <c r="R49" s="98" t="e">
        <f>IF(AND(R11&lt;90,R15&gt;3*(R18+T18),'Projectgegevens en Resultaten'!#REF!&lt;65),TRUE,FALSE)</f>
        <v>#REF!</v>
      </c>
      <c r="S49" s="75"/>
      <c r="T49" s="84"/>
      <c r="U49" s="84"/>
    </row>
    <row r="50" spans="1:21" s="195" customFormat="1" ht="12" hidden="1" customHeight="1" x14ac:dyDescent="0.2">
      <c r="A50" s="92" t="s">
        <v>154</v>
      </c>
      <c r="B50" s="98" t="b">
        <f>IF(COUNTIF($B$49:$R$49,TRUE)&gt;0,TRUE,FALSE)</f>
        <v>0</v>
      </c>
      <c r="C50" s="35"/>
      <c r="D50" s="35"/>
      <c r="E50" s="35"/>
      <c r="F50" s="98" t="b">
        <f>IF(COUNTIF($B$49:$R$49,TRUE)&gt;0,TRUE,FALSE)</f>
        <v>0</v>
      </c>
      <c r="G50" s="75"/>
      <c r="H50" s="75"/>
      <c r="I50" s="75"/>
      <c r="J50" s="98" t="b">
        <f>IF(COUNTIF($B$49:$R$49,TRUE)&gt;0,TRUE,FALSE)</f>
        <v>0</v>
      </c>
      <c r="K50" s="75"/>
      <c r="L50" s="75"/>
      <c r="M50" s="75"/>
      <c r="N50" s="98" t="b">
        <f>IF(COUNTIF($B$49:$R$49,TRUE)&gt;0,TRUE,FALSE)</f>
        <v>0</v>
      </c>
      <c r="O50" s="75"/>
      <c r="P50" s="75"/>
      <c r="Q50" s="75"/>
      <c r="R50" s="98" t="b">
        <f>IF(COUNTIF($B$49:$R$49,TRUE)&gt;0,TRUE,FALSE)</f>
        <v>0</v>
      </c>
      <c r="S50" s="75"/>
      <c r="T50" s="84"/>
      <c r="U50" s="84"/>
    </row>
    <row r="51" spans="1:21" s="195" customFormat="1" ht="12" hidden="1" customHeight="1" x14ac:dyDescent="0.2">
      <c r="A51" s="92" t="s">
        <v>151</v>
      </c>
      <c r="B51" s="99" t="e">
        <f>IF(OR(B46,AND(B45,B50,B49),AND(B45,B48,NOT(B50))),B41)</f>
        <v>#REF!</v>
      </c>
      <c r="C51" s="35"/>
      <c r="D51" s="35"/>
      <c r="E51" s="35"/>
      <c r="F51" s="99" t="e">
        <f>IF(OR(F46,AND(F45,F50,F49),AND(F45,F48,NOT(F50))),F41)</f>
        <v>#REF!</v>
      </c>
      <c r="G51" s="75"/>
      <c r="H51" s="35"/>
      <c r="I51" s="75"/>
      <c r="J51" s="99" t="e">
        <f>IF(OR(J46,AND(J45,J50,J49),AND(J45,J48,NOT(J50))),J41)</f>
        <v>#REF!</v>
      </c>
      <c r="K51" s="75"/>
      <c r="L51" s="35"/>
      <c r="M51" s="75"/>
      <c r="N51" s="99" t="e">
        <f>IF(OR(N46,AND(N45,N50,N49),AND(N45,N48,NOT(N50))),N41)</f>
        <v>#REF!</v>
      </c>
      <c r="O51" s="75"/>
      <c r="P51" s="75"/>
      <c r="Q51" s="75"/>
      <c r="R51" s="99" t="e">
        <f>IF(OR(R46,AND(R45,R50,R49),AND(R45,R48,NOT(R50))),R41)</f>
        <v>#REF!</v>
      </c>
      <c r="S51" s="75"/>
      <c r="T51" s="84"/>
      <c r="U51" s="84"/>
    </row>
    <row r="52" spans="1:21" s="195" customFormat="1" ht="12" customHeight="1" x14ac:dyDescent="0.25">
      <c r="A52" s="39" t="s">
        <v>140</v>
      </c>
      <c r="B52" s="100" t="str">
        <f>IFERROR(B88,"geen glas ingevoerd")</f>
        <v>Geen glas aanwezig</v>
      </c>
      <c r="C52" s="35"/>
      <c r="D52" s="35"/>
      <c r="E52" s="35"/>
      <c r="F52" s="75"/>
      <c r="G52" s="75"/>
      <c r="H52" s="75"/>
      <c r="I52" s="75"/>
      <c r="J52" s="75"/>
      <c r="K52" s="75"/>
      <c r="L52" s="75"/>
      <c r="M52" s="75"/>
      <c r="N52" s="75"/>
      <c r="O52" s="75"/>
      <c r="P52" s="75"/>
      <c r="Q52" s="75"/>
      <c r="R52" s="75"/>
      <c r="S52" s="75"/>
      <c r="T52" s="84"/>
      <c r="U52" s="84"/>
    </row>
    <row r="53" spans="1:21" s="195" customFormat="1" ht="12" customHeight="1" x14ac:dyDescent="0.25">
      <c r="A53" s="66" t="s">
        <v>139</v>
      </c>
      <c r="B53" s="98" t="str">
        <f>IF(MAX(T77:T86)=0,"",_xlfn.XLOOKUP(MAX(T77:T86),T77:T86,$D$77:$D$86,"nvt"))</f>
        <v/>
      </c>
      <c r="C53" s="71" t="s">
        <v>2</v>
      </c>
      <c r="D53" s="35"/>
      <c r="E53" s="35"/>
      <c r="F53" s="75"/>
      <c r="G53" s="75"/>
      <c r="H53" s="75"/>
      <c r="I53" s="75"/>
      <c r="J53" s="75"/>
      <c r="K53" s="75"/>
      <c r="L53" s="75"/>
      <c r="M53" s="75"/>
      <c r="N53" s="75"/>
      <c r="O53" s="75"/>
      <c r="P53" s="75"/>
      <c r="Q53" s="75"/>
      <c r="R53" s="75"/>
      <c r="S53" s="75"/>
      <c r="T53" s="84"/>
      <c r="U53" s="84"/>
    </row>
    <row r="54" spans="1:21" s="195" customFormat="1" ht="12" customHeight="1" x14ac:dyDescent="0.2">
      <c r="A54" s="75"/>
      <c r="B54" s="75"/>
      <c r="C54" s="75"/>
      <c r="D54" s="75"/>
      <c r="E54" s="75"/>
      <c r="F54" s="75"/>
      <c r="G54" s="75"/>
      <c r="H54" s="75"/>
      <c r="I54" s="75"/>
      <c r="J54" s="75"/>
      <c r="K54" s="75"/>
      <c r="L54" s="75"/>
      <c r="M54" s="75"/>
      <c r="N54" s="75"/>
      <c r="O54" s="75"/>
      <c r="P54" s="75"/>
      <c r="Q54" s="75"/>
      <c r="R54" s="75"/>
      <c r="S54" s="75"/>
      <c r="T54" s="84"/>
      <c r="U54" s="84"/>
    </row>
    <row r="55" spans="1:21" s="195" customFormat="1" ht="12" customHeight="1" x14ac:dyDescent="0.25">
      <c r="A55" s="36" t="s">
        <v>260</v>
      </c>
      <c r="B55" s="248">
        <f>IF(B10="Nee",0,B16*'Projectgegevens en Resultaten'!$B$16)</f>
        <v>0</v>
      </c>
      <c r="C55" s="248"/>
      <c r="D55" s="249"/>
      <c r="E55" s="40" t="s">
        <v>11</v>
      </c>
      <c r="F55" s="248">
        <f>IF(F10="Nee",0,F16*'Projectgegevens en Resultaten'!$B$16)</f>
        <v>0</v>
      </c>
      <c r="G55" s="248"/>
      <c r="H55" s="249"/>
      <c r="I55" s="40" t="s">
        <v>11</v>
      </c>
      <c r="J55" s="248">
        <f>IF(J10="Nee",0,J16*'Projectgegevens en Resultaten'!$B$16)</f>
        <v>0</v>
      </c>
      <c r="K55" s="248"/>
      <c r="L55" s="249"/>
      <c r="M55" s="40" t="s">
        <v>11</v>
      </c>
      <c r="N55" s="248">
        <f>IF(N10="Nee",0,N16*'Projectgegevens en Resultaten'!$B$16)</f>
        <v>0</v>
      </c>
      <c r="O55" s="248"/>
      <c r="P55" s="249"/>
      <c r="Q55" s="40" t="s">
        <v>11</v>
      </c>
      <c r="R55" s="248">
        <f>IF(R10="Nee",0,R16*'Projectgegevens en Resultaten'!$B$16)</f>
        <v>0</v>
      </c>
      <c r="S55" s="248"/>
      <c r="T55" s="249"/>
      <c r="U55" s="40" t="s">
        <v>11</v>
      </c>
    </row>
    <row r="56" spans="1:21" s="195" customFormat="1" ht="12" customHeight="1" x14ac:dyDescent="0.25">
      <c r="A56" s="72" t="s">
        <v>142</v>
      </c>
      <c r="B56" s="242">
        <f>(0.75*B18*FLOOR(B20,0.05)*0.9*B35*B38*B39)+(0.75*D18*FLOOR(D20,0.05)*0.9*D35*D38*D39)</f>
        <v>0</v>
      </c>
      <c r="C56" s="242"/>
      <c r="D56" s="243"/>
      <c r="E56" s="40" t="s">
        <v>11</v>
      </c>
      <c r="F56" s="242">
        <f>(0.75*F18*FLOOR(F20,0.05)*0.9*F35*F38*F39)+(0.75*H18*FLOOR(H20,0.05)*0.9*H35*H38*H39)</f>
        <v>0</v>
      </c>
      <c r="G56" s="242"/>
      <c r="H56" s="243"/>
      <c r="I56" s="40" t="s">
        <v>11</v>
      </c>
      <c r="J56" s="242">
        <f>(0.75*J18*FLOOR(J20,0.05)*0.9*J35*J38*J39)+(0.75*L18*FLOOR(L20,0.05)*0.9*L35*L38*L39)</f>
        <v>0</v>
      </c>
      <c r="K56" s="242"/>
      <c r="L56" s="243"/>
      <c r="M56" s="40" t="s">
        <v>11</v>
      </c>
      <c r="N56" s="242">
        <f>(0.75*N18*FLOOR(N20,0.05)*0.9*N35*N38*N39)+(0.75*P18*FLOOR(P20,0.05)*0.9*P35*P38*P39)</f>
        <v>0</v>
      </c>
      <c r="O56" s="242"/>
      <c r="P56" s="243"/>
      <c r="Q56" s="40" t="s">
        <v>11</v>
      </c>
      <c r="R56" s="242">
        <f>(0.75*R18*FLOOR(R20,0.05)*0.9*R35*R38*R39)+(0.75*T18*FLOOR(T20,0.05)*0.9*T35*T38*T39)</f>
        <v>0</v>
      </c>
      <c r="S56" s="242"/>
      <c r="T56" s="243"/>
      <c r="U56" s="40" t="s">
        <v>11</v>
      </c>
    </row>
    <row r="57" spans="1:21" s="195" customFormat="1" ht="12" customHeight="1" x14ac:dyDescent="0.25">
      <c r="A57" s="72" t="s">
        <v>143</v>
      </c>
      <c r="B57" s="248">
        <f>IF(B10="Nee",0,IFERROR(B18*B19*($B$53-24),0)+IFERROR(D18*D19*($B$53-24),0))</f>
        <v>0</v>
      </c>
      <c r="C57" s="248"/>
      <c r="D57" s="249"/>
      <c r="E57" s="40" t="s">
        <v>11</v>
      </c>
      <c r="F57" s="248">
        <f>IF(F10="Nee",0,IFERROR(F18*F19*($B$53-24),0)+IFERROR(H18*H19*($B$53-24),0))</f>
        <v>0</v>
      </c>
      <c r="G57" s="248"/>
      <c r="H57" s="249"/>
      <c r="I57" s="40" t="s">
        <v>11</v>
      </c>
      <c r="J57" s="248">
        <f>IF(J10="Nee",0,IFERROR(J18*J19*($B$53-24),0)+IFERROR(L18*L19*($B$53-24),0))</f>
        <v>0</v>
      </c>
      <c r="K57" s="248"/>
      <c r="L57" s="249"/>
      <c r="M57" s="40" t="s">
        <v>11</v>
      </c>
      <c r="N57" s="248">
        <f>IF(N10="Nee",0,IFERROR(N18*N19*($B$53-24),0)+IFERROR(P18*P19*($B$53-24),0))</f>
        <v>0</v>
      </c>
      <c r="O57" s="248"/>
      <c r="P57" s="249"/>
      <c r="Q57" s="40" t="s">
        <v>11</v>
      </c>
      <c r="R57" s="248">
        <f>IF(R10="Nee",0,IFERROR(R18*R19*($B$53-24),0)+IFERROR(T18*T19*($B$53-24),0))</f>
        <v>0</v>
      </c>
      <c r="S57" s="248"/>
      <c r="T57" s="249"/>
      <c r="U57" s="40" t="s">
        <v>11</v>
      </c>
    </row>
    <row r="58" spans="1:21" s="195" customFormat="1" ht="12" customHeight="1" x14ac:dyDescent="0.2">
      <c r="A58" s="66" t="s">
        <v>100</v>
      </c>
      <c r="B58" s="246">
        <f>SUM(B55:D57)</f>
        <v>0</v>
      </c>
      <c r="C58" s="246"/>
      <c r="D58" s="247"/>
      <c r="E58" s="40" t="s">
        <v>11</v>
      </c>
      <c r="F58" s="246">
        <f>SUM(F55:H57)</f>
        <v>0</v>
      </c>
      <c r="G58" s="246"/>
      <c r="H58" s="247"/>
      <c r="I58" s="41" t="s">
        <v>11</v>
      </c>
      <c r="J58" s="246">
        <f>SUM(J55:L57)</f>
        <v>0</v>
      </c>
      <c r="K58" s="246"/>
      <c r="L58" s="247"/>
      <c r="M58" s="41" t="s">
        <v>11</v>
      </c>
      <c r="N58" s="246">
        <f>SUM(N55:P57)</f>
        <v>0</v>
      </c>
      <c r="O58" s="246"/>
      <c r="P58" s="247"/>
      <c r="Q58" s="41" t="s">
        <v>11</v>
      </c>
      <c r="R58" s="250">
        <f>SUM(R55:R57)</f>
        <v>0</v>
      </c>
      <c r="S58" s="250"/>
      <c r="T58" s="250"/>
      <c r="U58" s="41" t="s">
        <v>11</v>
      </c>
    </row>
    <row r="59" spans="1:21" s="195" customFormat="1" ht="12" customHeight="1" x14ac:dyDescent="0.2">
      <c r="A59" s="75"/>
      <c r="B59" s="76"/>
      <c r="C59" s="76"/>
      <c r="D59" s="76"/>
      <c r="E59" s="75"/>
      <c r="F59" s="75"/>
      <c r="G59" s="75"/>
      <c r="H59" s="75"/>
      <c r="I59" s="75"/>
      <c r="J59" s="75"/>
      <c r="K59" s="75"/>
      <c r="L59" s="75"/>
      <c r="M59" s="75"/>
      <c r="N59" s="75"/>
      <c r="O59" s="75"/>
      <c r="P59" s="75"/>
      <c r="Q59" s="75"/>
      <c r="R59" s="75"/>
      <c r="S59" s="75"/>
      <c r="T59" s="75"/>
      <c r="U59" s="84"/>
    </row>
    <row r="60" spans="1:21" s="195" customFormat="1" ht="12" customHeight="1" x14ac:dyDescent="0.25">
      <c r="A60" s="36" t="s">
        <v>144</v>
      </c>
      <c r="B60" s="242">
        <f>IF(B5=0,0,IF(B4="Woonvertrek",2*'Projectgegevens en Resultaten'!$B$33*B5,'Projectgegevens en Resultaten'!$B$33*B5))</f>
        <v>0</v>
      </c>
      <c r="C60" s="242"/>
      <c r="D60" s="243"/>
      <c r="E60" s="40" t="s">
        <v>11</v>
      </c>
      <c r="F60" s="75"/>
      <c r="G60" s="75"/>
      <c r="H60" s="75"/>
      <c r="I60" s="75"/>
      <c r="J60" s="75"/>
      <c r="K60" s="75"/>
      <c r="L60" s="75"/>
      <c r="M60" s="75"/>
      <c r="N60" s="75"/>
      <c r="O60" s="75"/>
      <c r="P60" s="75"/>
      <c r="Q60" s="75"/>
      <c r="R60" s="65"/>
      <c r="S60" s="35"/>
      <c r="T60" s="75"/>
      <c r="U60" s="84"/>
    </row>
    <row r="61" spans="1:21" s="195" customFormat="1" ht="12" customHeight="1" x14ac:dyDescent="0.25">
      <c r="A61" s="36" t="s">
        <v>145</v>
      </c>
      <c r="B61" s="244">
        <f>IFERROR(MAX((SUM('Projectgegevens en Resultaten'!$B$21:$B$23)/3600*1.205*1005*(B53-24))/SUM('Projectgegevens en Resultaten'!$B$40:$T$40)*B5,0),0)</f>
        <v>0</v>
      </c>
      <c r="C61" s="244">
        <f>IFERROR(MAX(SUM(C57:C59)/3600*1.205*1005*(C60-24),0),0)</f>
        <v>0</v>
      </c>
      <c r="D61" s="245">
        <f>IFERROR(MAX(SUM(D57:D59)/3600*1.205*1005*(D60-24),0),0)</f>
        <v>0</v>
      </c>
      <c r="E61" s="40" t="s">
        <v>11</v>
      </c>
      <c r="F61" s="75"/>
      <c r="G61" s="75"/>
      <c r="H61" s="75"/>
      <c r="I61" s="75"/>
      <c r="J61" s="75"/>
      <c r="K61" s="75"/>
      <c r="L61" s="75"/>
      <c r="M61" s="75"/>
      <c r="N61" s="75"/>
      <c r="O61" s="75"/>
      <c r="P61" s="75"/>
      <c r="Q61" s="75"/>
      <c r="R61" s="65"/>
      <c r="S61" s="35"/>
      <c r="T61" s="75"/>
      <c r="U61" s="84"/>
    </row>
    <row r="62" spans="1:21" s="195" customFormat="1" ht="12" customHeight="1" x14ac:dyDescent="0.2">
      <c r="A62" s="75"/>
      <c r="B62" s="76"/>
      <c r="C62" s="76"/>
      <c r="D62" s="76"/>
      <c r="E62" s="75"/>
      <c r="F62" s="75"/>
      <c r="G62" s="75"/>
      <c r="H62" s="75"/>
      <c r="I62" s="75"/>
      <c r="J62" s="75"/>
      <c r="K62" s="75"/>
      <c r="L62" s="75"/>
      <c r="M62" s="75"/>
      <c r="N62" s="75"/>
      <c r="O62" s="75"/>
      <c r="P62" s="75"/>
      <c r="Q62" s="75"/>
      <c r="R62" s="75"/>
      <c r="S62" s="75"/>
      <c r="T62" s="75"/>
      <c r="U62" s="84"/>
    </row>
    <row r="63" spans="1:21" s="195" customFormat="1" ht="12" customHeight="1" x14ac:dyDescent="0.2">
      <c r="A63" s="72" t="s">
        <v>167</v>
      </c>
      <c r="B63" s="242">
        <f>IFERROR(SUM(B58:T58)+B60+B61,0)</f>
        <v>0</v>
      </c>
      <c r="C63" s="242"/>
      <c r="D63" s="243"/>
      <c r="E63" s="40" t="s">
        <v>11</v>
      </c>
      <c r="F63" s="35"/>
      <c r="G63" s="35"/>
      <c r="H63" s="35"/>
      <c r="I63" s="35"/>
      <c r="J63" s="35"/>
      <c r="K63" s="35"/>
      <c r="L63" s="35"/>
      <c r="M63" s="35"/>
      <c r="N63" s="35"/>
      <c r="O63" s="35"/>
      <c r="P63" s="35"/>
      <c r="Q63" s="35"/>
      <c r="R63" s="35"/>
      <c r="S63" s="35"/>
      <c r="T63" s="75"/>
      <c r="U63" s="84"/>
    </row>
    <row r="64" spans="1:21" s="195" customFormat="1" ht="12" customHeight="1" x14ac:dyDescent="0.2">
      <c r="A64" s="72" t="s">
        <v>99</v>
      </c>
      <c r="B64" s="246">
        <f>IFERROR(B63/B5,0)</f>
        <v>0</v>
      </c>
      <c r="C64" s="246"/>
      <c r="D64" s="247"/>
      <c r="E64" s="40" t="s">
        <v>12</v>
      </c>
      <c r="F64" s="35"/>
      <c r="G64" s="35"/>
      <c r="H64" s="35"/>
      <c r="I64" s="35"/>
      <c r="J64" s="35"/>
      <c r="K64" s="35"/>
      <c r="L64" s="35"/>
      <c r="M64" s="35"/>
      <c r="N64" s="35"/>
      <c r="O64" s="35"/>
      <c r="P64" s="35"/>
      <c r="Q64" s="35"/>
      <c r="R64" s="35"/>
      <c r="S64" s="35"/>
      <c r="T64" s="75"/>
      <c r="U64" s="84"/>
    </row>
    <row r="65" spans="1:21" s="195" customFormat="1" ht="12" customHeight="1" x14ac:dyDescent="0.2">
      <c r="A65" s="75"/>
      <c r="B65" s="75"/>
      <c r="C65" s="75"/>
      <c r="D65" s="75"/>
      <c r="E65" s="75"/>
      <c r="F65" s="75"/>
      <c r="G65" s="75"/>
      <c r="H65" s="75"/>
      <c r="I65" s="75"/>
      <c r="J65" s="75"/>
      <c r="K65" s="75"/>
      <c r="L65" s="75"/>
      <c r="M65" s="75"/>
      <c r="N65" s="75"/>
      <c r="O65" s="75"/>
      <c r="P65" s="75"/>
      <c r="Q65" s="75"/>
      <c r="R65" s="75"/>
      <c r="S65" s="75"/>
      <c r="T65" s="75"/>
      <c r="U65" s="84"/>
    </row>
    <row r="70" spans="1:21" hidden="1" x14ac:dyDescent="0.2"/>
    <row r="71" spans="1:21" ht="15" hidden="1" customHeight="1" x14ac:dyDescent="0.2">
      <c r="A71" s="236" t="s">
        <v>251</v>
      </c>
      <c r="B71" s="236"/>
      <c r="C71" s="236"/>
      <c r="D71" s="236"/>
      <c r="E71" s="236"/>
      <c r="F71" s="236"/>
      <c r="G71" s="236"/>
      <c r="H71" s="236"/>
      <c r="I71" s="236"/>
      <c r="J71" s="236"/>
      <c r="K71" s="236"/>
      <c r="L71" s="236"/>
      <c r="M71" s="236"/>
      <c r="N71" s="236"/>
      <c r="O71" s="236"/>
      <c r="P71" s="236"/>
      <c r="Q71" s="236"/>
      <c r="R71" s="236"/>
      <c r="S71" s="236"/>
      <c r="T71" s="236"/>
      <c r="U71" s="236"/>
    </row>
    <row r="72" spans="1:21" ht="15" hidden="1" customHeight="1" x14ac:dyDescent="0.2">
      <c r="A72" s="236"/>
      <c r="B72" s="236"/>
      <c r="C72" s="236"/>
      <c r="D72" s="236"/>
      <c r="E72" s="236"/>
      <c r="F72" s="236"/>
      <c r="G72" s="236"/>
      <c r="H72" s="236"/>
      <c r="I72" s="236"/>
      <c r="J72" s="236"/>
      <c r="K72" s="236"/>
      <c r="L72" s="236"/>
      <c r="M72" s="236"/>
      <c r="N72" s="236"/>
      <c r="O72" s="236"/>
      <c r="P72" s="236"/>
      <c r="Q72" s="236"/>
      <c r="R72" s="236"/>
      <c r="S72" s="236"/>
      <c r="T72" s="236"/>
      <c r="U72" s="236"/>
    </row>
    <row r="73" spans="1:21" hidden="1" x14ac:dyDescent="0.2">
      <c r="A73" s="196" t="s">
        <v>249</v>
      </c>
      <c r="B73" s="197" cm="1">
        <f t="array" ref="B73">IF(B$10="Nee",0,o_Isol_Max_Orientatie(B8,B11))</f>
        <v>0</v>
      </c>
      <c r="C73" s="198" t="s">
        <v>12</v>
      </c>
      <c r="D73" s="198"/>
      <c r="E73" s="198"/>
      <c r="F73" s="197" cm="1">
        <f t="array" ref="F73">IF(F$10="Nee",0,o_Isol_Max_Orientatie(F8,F11))</f>
        <v>0</v>
      </c>
      <c r="G73" s="198" t="s">
        <v>12</v>
      </c>
      <c r="H73" s="198"/>
      <c r="I73" s="198"/>
      <c r="J73" s="197" cm="1">
        <f t="array" ref="J73">IF(J$10="Nee",0,o_Isol_Max_Orientatie(J8,J11))</f>
        <v>0</v>
      </c>
      <c r="K73" s="198" t="s">
        <v>12</v>
      </c>
      <c r="L73" s="198"/>
      <c r="M73" s="198"/>
      <c r="N73" s="197" cm="1">
        <f t="array" ref="N73">IF(N$10="Nee",0,o_Isol_Max_Orientatie(N8,N11))</f>
        <v>0</v>
      </c>
      <c r="O73" s="198" t="s">
        <v>12</v>
      </c>
      <c r="P73" s="198"/>
      <c r="Q73" s="198"/>
      <c r="R73" s="197" cm="1">
        <f t="array" ref="R73">IF(R$10="Nee",0,o_Isol_Max_Orientatie(R8,R11))</f>
        <v>0</v>
      </c>
      <c r="S73" s="198" t="s">
        <v>12</v>
      </c>
      <c r="T73" s="198"/>
      <c r="U73" s="198"/>
    </row>
    <row r="74" spans="1:21" hidden="1" x14ac:dyDescent="0.2">
      <c r="A74" s="196" t="s">
        <v>250</v>
      </c>
      <c r="B74" s="199" t="e" cm="1">
        <f t="array" ref="B74">VALUE(o_Tijdstip_Isol_Max_Orientatie(B8,B11))</f>
        <v>#VALUE!</v>
      </c>
      <c r="C74" s="198"/>
      <c r="D74" s="198"/>
      <c r="E74" s="198"/>
      <c r="F74" s="200" cm="1">
        <f t="array" ref="F74">VALUE(o_Tijdstip_Isol_Max_Orientatie(F8,F11))</f>
        <v>0.375</v>
      </c>
      <c r="G74" s="198"/>
      <c r="H74" s="198"/>
      <c r="I74" s="198"/>
      <c r="J74" s="200" cm="1">
        <f t="array" ref="J74">VALUE(o_Tijdstip_Isol_Max_Orientatie(J8,J11))</f>
        <v>0.58333333333333337</v>
      </c>
      <c r="K74" s="198"/>
      <c r="L74" s="198"/>
      <c r="M74" s="198"/>
      <c r="N74" s="200" cm="1">
        <f t="array" ref="N74">VALUE(o_Tijdstip_Isol_Max_Orientatie(N8,N11))</f>
        <v>0.625</v>
      </c>
      <c r="O74" s="198"/>
      <c r="P74" s="198"/>
      <c r="Q74" s="198"/>
      <c r="R74" s="200" cm="1">
        <f t="array" ref="R74">VALUE(o_Tijdstip_Isol_Max_Orientatie(R8,R11))</f>
        <v>0.5</v>
      </c>
      <c r="S74" s="198"/>
      <c r="T74" s="198"/>
      <c r="U74" s="198"/>
    </row>
    <row r="75" spans="1:21" hidden="1" x14ac:dyDescent="0.2">
      <c r="A75" s="196"/>
      <c r="B75" s="196"/>
      <c r="C75" s="196"/>
      <c r="D75" s="196"/>
      <c r="E75" s="196"/>
      <c r="F75" s="196"/>
      <c r="G75" s="196"/>
      <c r="H75" s="196"/>
      <c r="I75" s="196"/>
      <c r="J75" s="196"/>
      <c r="K75" s="196"/>
      <c r="L75" s="196"/>
      <c r="M75" s="196"/>
      <c r="N75" s="196"/>
      <c r="O75" s="196"/>
      <c r="P75" s="196"/>
      <c r="Q75" s="196"/>
      <c r="R75" s="196"/>
      <c r="S75" s="196"/>
      <c r="T75" s="196"/>
      <c r="U75" s="196"/>
    </row>
    <row r="76" spans="1:21" ht="13.5" hidden="1" x14ac:dyDescent="0.25">
      <c r="A76" s="196" t="s">
        <v>142</v>
      </c>
      <c r="B76" s="196"/>
      <c r="C76" s="196"/>
      <c r="D76" s="196" t="s">
        <v>284</v>
      </c>
      <c r="E76" s="196"/>
      <c r="F76" s="196"/>
      <c r="G76" s="196"/>
      <c r="H76" s="196"/>
      <c r="I76" s="196"/>
      <c r="J76" s="196"/>
      <c r="K76" s="196"/>
      <c r="L76" s="196"/>
      <c r="M76" s="196"/>
      <c r="N76" s="196"/>
      <c r="O76" s="196"/>
      <c r="P76" s="196"/>
      <c r="Q76" s="196"/>
      <c r="R76" s="196"/>
      <c r="S76" s="196"/>
      <c r="T76" s="196"/>
      <c r="U76" s="196"/>
    </row>
    <row r="77" spans="1:21" hidden="1" x14ac:dyDescent="0.2">
      <c r="A77" s="201">
        <v>0.375</v>
      </c>
      <c r="B77" s="197" cm="1">
        <f t="array" ref="B77">IFERROR((0.75*B$18*FLOOR(B$20,0.05)*0.9*B$35*B$38*o_Isol_Bij_Tijdstip($A77,B$8,B$11))+(0.75*D$18*FLOOR(D$20,0.05)*0.9*D$35*D$38*o_Isol_Bij_Tijdstip($A77,B$8,B$11)),0)</f>
        <v>0</v>
      </c>
      <c r="C77" s="196" t="s">
        <v>11</v>
      </c>
      <c r="D77" s="196">
        <v>24.7</v>
      </c>
      <c r="E77" s="196"/>
      <c r="F77" s="197" cm="1">
        <f t="array" ref="F77">IFERROR((0.75*F$18*FLOOR(F$20,0.05)*0.9*F$35*F$38*o_Isol_Bij_Tijdstip($A77,F$8,F$11))+(0.75*H$18*FLOOR(H$20,0.05)*0.9*H$35*H$38*o_Isol_Bij_Tijdstip($A77,F$8,F$11)),0)</f>
        <v>0</v>
      </c>
      <c r="G77" s="196" t="s">
        <v>11</v>
      </c>
      <c r="H77" s="196"/>
      <c r="I77" s="196"/>
      <c r="J77" s="197" cm="1">
        <f t="array" ref="J77">IFERROR((0.75*J$18*FLOOR(J$20,0.05)*0.9*J$35*J$38*o_Isol_Bij_Tijdstip($A77,J$8,J$11))+(0.75*L$18*FLOOR(L$20,0.05)*0.9*L$35*L$38*o_Isol_Bij_Tijdstip($A77,J$8,J$11)),0)</f>
        <v>0</v>
      </c>
      <c r="K77" s="196" t="s">
        <v>11</v>
      </c>
      <c r="L77" s="196"/>
      <c r="M77" s="196"/>
      <c r="N77" s="197" cm="1">
        <f t="array" ref="N77">IFERROR((0.75*N$18*FLOOR(N$20,0.05)*0.9*N$35*N$38*o_Isol_Bij_Tijdstip($A77,N$8,N$11))+(0.75*P$18*FLOOR(P$20,0.05)*0.9*P$35*P$38*o_Isol_Bij_Tijdstip($A77,N$8,N$11)),0)</f>
        <v>0</v>
      </c>
      <c r="O77" s="196" t="s">
        <v>11</v>
      </c>
      <c r="P77" s="196"/>
      <c r="Q77" s="196"/>
      <c r="R77" s="197" cm="1">
        <f t="array" ref="R77">IFERROR(IF(R$10="Nee",0,(0.75*R$18*FLOOR(R$20,0.05)*0.9*R$35*R$38*o_Isol_Bij_Tijdstip($A77,R$8,R$11))+(0.75*T$18*FLOOR(T$20,0.05)*0.9*T$35*T$38*o_Isol_Bij_Tijdstip($A77,R$8,R$11))),0)</f>
        <v>0</v>
      </c>
      <c r="S77" s="196" t="s">
        <v>11</v>
      </c>
      <c r="T77" s="197">
        <f t="shared" ref="T77:T86" si="0">B77+F77+J77+N77+R77</f>
        <v>0</v>
      </c>
      <c r="U77" s="196" t="s">
        <v>11</v>
      </c>
    </row>
    <row r="78" spans="1:21" hidden="1" x14ac:dyDescent="0.2">
      <c r="A78" s="201">
        <v>0.41666666666666669</v>
      </c>
      <c r="B78" s="197" cm="1">
        <f t="array" ref="B78">IFERROR((0.75*B$18*FLOOR(B$20,0.05)*0.9*B$35*B$38*o_Isol_Bij_Tijdstip($A78,B$8,B$11))+(0.75*D$18*FLOOR(D$20,0.05)*0.9*D$35*D$38*o_Isol_Bij_Tijdstip($A78,B$8,B$11)),0)</f>
        <v>0</v>
      </c>
      <c r="C78" s="196" t="s">
        <v>11</v>
      </c>
      <c r="D78" s="196">
        <v>26.9</v>
      </c>
      <c r="E78" s="196"/>
      <c r="F78" s="197" cm="1">
        <f t="array" ref="F78">IFERROR((0.75*F$18*FLOOR(F$20,0.05)*0.9*F$35*F$38*o_Isol_Bij_Tijdstip($A78,F$8,F$11))+(0.75*H$18*FLOOR(H$20,0.05)*0.9*H$35*H$38*o_Isol_Bij_Tijdstip($A78,F$8,F$11)),0)</f>
        <v>0</v>
      </c>
      <c r="G78" s="196" t="s">
        <v>11</v>
      </c>
      <c r="H78" s="196"/>
      <c r="I78" s="196"/>
      <c r="J78" s="197" cm="1">
        <f t="array" ref="J78">IFERROR((0.75*J$18*FLOOR(J$20,0.05)*0.9*J$35*J$38*o_Isol_Bij_Tijdstip($A78,J$8,J$11))+(0.75*L$18*FLOOR(L$20,0.05)*0.9*L$35*L$38*o_Isol_Bij_Tijdstip($A78,J$8,J$11)),0)</f>
        <v>0</v>
      </c>
      <c r="K78" s="196" t="s">
        <v>11</v>
      </c>
      <c r="L78" s="196"/>
      <c r="M78" s="196"/>
      <c r="N78" s="197" cm="1">
        <f t="array" ref="N78">IFERROR((0.75*N$18*FLOOR(N$20,0.05)*0.9*N$35*N$38*o_Isol_Bij_Tijdstip($A78,N$8,N$11))+(0.75*P$18*FLOOR(P$20,0.05)*0.9*P$35*P$38*o_Isol_Bij_Tijdstip($A78,N$8,N$11)),0)</f>
        <v>0</v>
      </c>
      <c r="O78" s="196" t="s">
        <v>11</v>
      </c>
      <c r="P78" s="196"/>
      <c r="Q78" s="196"/>
      <c r="R78" s="197" cm="1">
        <f t="array" ref="R78">IFERROR(IF(R$10="Nee",0,(0.75*R$18*FLOOR(R$20,0.05)*0.9*R$35*R$38*o_Isol_Bij_Tijdstip($A78,R$8,R$11))+(0.75*T$18*FLOOR(T$20,0.05)*0.9*T$35*T$38*o_Isol_Bij_Tijdstip($A78,R$8,R$11))),0)</f>
        <v>0</v>
      </c>
      <c r="S78" s="196" t="s">
        <v>11</v>
      </c>
      <c r="T78" s="197">
        <f t="shared" si="0"/>
        <v>0</v>
      </c>
      <c r="U78" s="196" t="s">
        <v>11</v>
      </c>
    </row>
    <row r="79" spans="1:21" hidden="1" x14ac:dyDescent="0.2">
      <c r="A79" s="201">
        <v>0.45833333333333331</v>
      </c>
      <c r="B79" s="197" cm="1">
        <f t="array" ref="B79">IFERROR((0.75*B$18*FLOOR(B$20,0.05)*0.9*B$35*B$38*o_Isol_Bij_Tijdstip($A79,B$8,B$11))+(0.75*D$18*FLOOR(D$20,0.05)*0.9*D$35*D$38*o_Isol_Bij_Tijdstip($A79,B$8,B$11)),0)</f>
        <v>0</v>
      </c>
      <c r="C79" s="196" t="s">
        <v>11</v>
      </c>
      <c r="D79" s="196">
        <v>28.2</v>
      </c>
      <c r="E79" s="196"/>
      <c r="F79" s="197" cm="1">
        <f t="array" ref="F79">IFERROR((0.75*F$18*FLOOR(F$20,0.05)*0.9*F$35*F$38*o_Isol_Bij_Tijdstip($A79,F$8,F$11))+(0.75*H$18*FLOOR(H$20,0.05)*0.9*H$35*H$38*o_Isol_Bij_Tijdstip($A79,F$8,F$11)),0)</f>
        <v>0</v>
      </c>
      <c r="G79" s="196" t="s">
        <v>11</v>
      </c>
      <c r="H79" s="196"/>
      <c r="I79" s="196"/>
      <c r="J79" s="197" cm="1">
        <f t="array" ref="J79">IFERROR((0.75*J$18*FLOOR(J$20,0.05)*0.9*J$35*J$38*o_Isol_Bij_Tijdstip($A79,J$8,J$11))+(0.75*L$18*FLOOR(L$20,0.05)*0.9*L$35*L$38*o_Isol_Bij_Tijdstip($A79,J$8,J$11)),0)</f>
        <v>0</v>
      </c>
      <c r="K79" s="196" t="s">
        <v>11</v>
      </c>
      <c r="L79" s="196"/>
      <c r="M79" s="196"/>
      <c r="N79" s="197" cm="1">
        <f t="array" ref="N79">IFERROR((0.75*N$18*FLOOR(N$20,0.05)*0.9*N$35*N$38*o_Isol_Bij_Tijdstip($A79,N$8,N$11))+(0.75*P$18*FLOOR(P$20,0.05)*0.9*P$35*P$38*o_Isol_Bij_Tijdstip($A79,N$8,N$11)),0)</f>
        <v>0</v>
      </c>
      <c r="O79" s="196" t="s">
        <v>11</v>
      </c>
      <c r="P79" s="196"/>
      <c r="Q79" s="196"/>
      <c r="R79" s="197" cm="1">
        <f t="array" ref="R79">IFERROR(IF(R$10="Nee",0,(0.75*R$18*FLOOR(R$20,0.05)*0.9*R$35*R$38*o_Isol_Bij_Tijdstip($A79,R$8,R$11))+(0.75*T$18*FLOOR(T$20,0.05)*0.9*T$35*T$38*o_Isol_Bij_Tijdstip($A79,R$8,R$11))),0)</f>
        <v>0</v>
      </c>
      <c r="S79" s="196" t="s">
        <v>11</v>
      </c>
      <c r="T79" s="197">
        <f t="shared" si="0"/>
        <v>0</v>
      </c>
      <c r="U79" s="196" t="s">
        <v>11</v>
      </c>
    </row>
    <row r="80" spans="1:21" hidden="1" x14ac:dyDescent="0.2">
      <c r="A80" s="201">
        <v>0.5</v>
      </c>
      <c r="B80" s="197" cm="1">
        <f t="array" ref="B80">IFERROR((0.75*B$18*FLOOR(B$20,0.05)*0.9*B$35*B$38*o_Isol_Bij_Tijdstip($A80,B$8,B$11))+(0.75*D$18*FLOOR(D$20,0.05)*0.9*D$35*D$38*o_Isol_Bij_Tijdstip($A80,B$8,B$11)),0)</f>
        <v>0</v>
      </c>
      <c r="C80" s="196" t="s">
        <v>11</v>
      </c>
      <c r="D80" s="196">
        <v>28.9</v>
      </c>
      <c r="E80" s="196"/>
      <c r="F80" s="197" cm="1">
        <f t="array" ref="F80">IFERROR((0.75*F$18*FLOOR(F$20,0.05)*0.9*F$35*F$38*o_Isol_Bij_Tijdstip($A80,F$8,F$11))+(0.75*H$18*FLOOR(H$20,0.05)*0.9*H$35*H$38*o_Isol_Bij_Tijdstip($A80,F$8,F$11)),0)</f>
        <v>0</v>
      </c>
      <c r="G80" s="196" t="s">
        <v>11</v>
      </c>
      <c r="H80" s="196"/>
      <c r="I80" s="196"/>
      <c r="J80" s="197" cm="1">
        <f t="array" ref="J80">IFERROR((0.75*J$18*FLOOR(J$20,0.05)*0.9*J$35*J$38*o_Isol_Bij_Tijdstip($A80,J$8,J$11))+(0.75*L$18*FLOOR(L$20,0.05)*0.9*L$35*L$38*o_Isol_Bij_Tijdstip($A80,J$8,J$11)),0)</f>
        <v>0</v>
      </c>
      <c r="K80" s="196" t="s">
        <v>11</v>
      </c>
      <c r="L80" s="196"/>
      <c r="M80" s="196"/>
      <c r="N80" s="197" cm="1">
        <f t="array" ref="N80">IFERROR((0.75*N$18*FLOOR(N$20,0.05)*0.9*N$35*N$38*o_Isol_Bij_Tijdstip($A80,N$8,N$11))+(0.75*P$18*FLOOR(P$20,0.05)*0.9*P$35*P$38*o_Isol_Bij_Tijdstip($A80,N$8,N$11)),0)</f>
        <v>0</v>
      </c>
      <c r="O80" s="196" t="s">
        <v>11</v>
      </c>
      <c r="P80" s="196"/>
      <c r="Q80" s="196"/>
      <c r="R80" s="197" cm="1">
        <f t="array" ref="R80">IFERROR(IF(R$10="Nee",0,(0.75*R$18*FLOOR(R$20,0.05)*0.9*R$35*R$38*o_Isol_Bij_Tijdstip($A80,R$8,R$11))+(0.75*T$18*FLOOR(T$20,0.05)*0.9*T$35*T$38*o_Isol_Bij_Tijdstip($A80,R$8,R$11))),0)</f>
        <v>0</v>
      </c>
      <c r="S80" s="196" t="s">
        <v>11</v>
      </c>
      <c r="T80" s="197">
        <f t="shared" si="0"/>
        <v>0</v>
      </c>
      <c r="U80" s="196" t="s">
        <v>11</v>
      </c>
    </row>
    <row r="81" spans="1:21" hidden="1" x14ac:dyDescent="0.2">
      <c r="A81" s="201">
        <v>0.54166666666666696</v>
      </c>
      <c r="B81" s="197" cm="1">
        <f t="array" ref="B81">IFERROR((0.75*B$18*FLOOR(B$20,0.05)*0.9*B$35*B$38*o_Isol_Bij_Tijdstip($A81,B$8,B$11))+(0.75*D$18*FLOOR(D$20,0.05)*0.9*D$35*D$38*o_Isol_Bij_Tijdstip($A81,B$8,B$11)),0)</f>
        <v>0</v>
      </c>
      <c r="C81" s="196" t="s">
        <v>11</v>
      </c>
      <c r="D81" s="196">
        <v>29.7</v>
      </c>
      <c r="E81" s="196"/>
      <c r="F81" s="197" cm="1">
        <f t="array" ref="F81">IFERROR((0.75*F$18*FLOOR(F$20,0.05)*0.9*F$35*F$38*o_Isol_Bij_Tijdstip($A81,F$8,F$11))+(0.75*H$18*FLOOR(H$20,0.05)*0.9*H$35*H$38*o_Isol_Bij_Tijdstip($A81,F$8,F$11)),0)</f>
        <v>0</v>
      </c>
      <c r="G81" s="196" t="s">
        <v>11</v>
      </c>
      <c r="H81" s="196"/>
      <c r="I81" s="196"/>
      <c r="J81" s="197" cm="1">
        <f t="array" ref="J81">IFERROR((0.75*J$18*FLOOR(J$20,0.05)*0.9*J$35*J$38*o_Isol_Bij_Tijdstip($A81,J$8,J$11))+(0.75*L$18*FLOOR(L$20,0.05)*0.9*L$35*L$38*o_Isol_Bij_Tijdstip($A81,J$8,J$11)),0)</f>
        <v>0</v>
      </c>
      <c r="K81" s="196" t="s">
        <v>11</v>
      </c>
      <c r="L81" s="196"/>
      <c r="M81" s="196"/>
      <c r="N81" s="197" cm="1">
        <f t="array" ref="N81">IFERROR((0.75*N$18*FLOOR(N$20,0.05)*0.9*N$35*N$38*o_Isol_Bij_Tijdstip($A81,N$8,N$11))+(0.75*P$18*FLOOR(P$20,0.05)*0.9*P$35*P$38*o_Isol_Bij_Tijdstip($A81,N$8,N$11)),0)</f>
        <v>0</v>
      </c>
      <c r="O81" s="196" t="s">
        <v>11</v>
      </c>
      <c r="P81" s="196"/>
      <c r="Q81" s="196"/>
      <c r="R81" s="197" cm="1">
        <f t="array" ref="R81">IFERROR(IF(R$10="Nee",0,(0.75*R$18*FLOOR(R$20,0.05)*0.9*R$35*R$38*o_Isol_Bij_Tijdstip($A81,R$8,R$11))+(0.75*T$18*FLOOR(T$20,0.05)*0.9*T$35*T$38*o_Isol_Bij_Tijdstip($A81,R$8,R$11))),0)</f>
        <v>0</v>
      </c>
      <c r="S81" s="196" t="s">
        <v>11</v>
      </c>
      <c r="T81" s="197">
        <f t="shared" si="0"/>
        <v>0</v>
      </c>
      <c r="U81" s="196" t="s">
        <v>11</v>
      </c>
    </row>
    <row r="82" spans="1:21" hidden="1" x14ac:dyDescent="0.2">
      <c r="A82" s="201">
        <v>0.58333333333333404</v>
      </c>
      <c r="B82" s="197" cm="1">
        <f t="array" ref="B82">IFERROR((0.75*B$18*FLOOR(B$20,0.05)*0.9*B$35*B$38*o_Isol_Bij_Tijdstip($A82,B$8,B$11))+(0.75*D$18*FLOOR(D$20,0.05)*0.9*D$35*D$38*o_Isol_Bij_Tijdstip($A82,B$8,B$11)),0)</f>
        <v>0</v>
      </c>
      <c r="C82" s="196" t="s">
        <v>11</v>
      </c>
      <c r="D82" s="196">
        <v>29.9</v>
      </c>
      <c r="E82" s="196"/>
      <c r="F82" s="197" cm="1">
        <f t="array" ref="F82">IFERROR((0.75*F$18*FLOOR(F$20,0.05)*0.9*F$35*F$38*o_Isol_Bij_Tijdstip($A82,F$8,F$11))+(0.75*H$18*FLOOR(H$20,0.05)*0.9*H$35*H$38*o_Isol_Bij_Tijdstip($A82,F$8,F$11)),0)</f>
        <v>0</v>
      </c>
      <c r="G82" s="196" t="s">
        <v>11</v>
      </c>
      <c r="H82" s="196"/>
      <c r="I82" s="196"/>
      <c r="J82" s="197" cm="1">
        <f t="array" ref="J82">IFERROR((0.75*J$18*FLOOR(J$20,0.05)*0.9*J$35*J$38*o_Isol_Bij_Tijdstip($A82,J$8,J$11))+(0.75*L$18*FLOOR(L$20,0.05)*0.9*L$35*L$38*o_Isol_Bij_Tijdstip($A82,J$8,J$11)),0)</f>
        <v>0</v>
      </c>
      <c r="K82" s="196" t="s">
        <v>11</v>
      </c>
      <c r="L82" s="196"/>
      <c r="M82" s="196"/>
      <c r="N82" s="197" cm="1">
        <f t="array" ref="N82">IFERROR((0.75*N$18*FLOOR(N$20,0.05)*0.9*N$35*N$38*o_Isol_Bij_Tijdstip($A82,N$8,N$11))+(0.75*P$18*FLOOR(P$20,0.05)*0.9*P$35*P$38*o_Isol_Bij_Tijdstip($A82,N$8,N$11)),0)</f>
        <v>0</v>
      </c>
      <c r="O82" s="196" t="s">
        <v>11</v>
      </c>
      <c r="P82" s="196"/>
      <c r="Q82" s="196"/>
      <c r="R82" s="197" cm="1">
        <f t="array" ref="R82">IFERROR(IF(R$10="Nee",0,(0.75*R$18*FLOOR(R$20,0.05)*0.9*R$35*R$38*o_Isol_Bij_Tijdstip($A82,R$8,R$11))+(0.75*T$18*FLOOR(T$20,0.05)*0.9*T$35*T$38*o_Isol_Bij_Tijdstip($A82,R$8,R$11))),0)</f>
        <v>0</v>
      </c>
      <c r="S82" s="196" t="s">
        <v>11</v>
      </c>
      <c r="T82" s="197">
        <f t="shared" si="0"/>
        <v>0</v>
      </c>
      <c r="U82" s="196" t="s">
        <v>11</v>
      </c>
    </row>
    <row r="83" spans="1:21" hidden="1" x14ac:dyDescent="0.2">
      <c r="A83" s="201">
        <v>0.625000000000001</v>
      </c>
      <c r="B83" s="197" cm="1">
        <f t="array" ref="B83">IFERROR((0.75*B$18*FLOOR(B$20,0.05)*0.9*B$35*B$38*o_Isol_Bij_Tijdstip($A83,B$8,B$11))+(0.75*D$18*FLOOR(D$20,0.05)*0.9*D$35*D$38*o_Isol_Bij_Tijdstip($A83,B$8,B$11)),0)</f>
        <v>0</v>
      </c>
      <c r="C83" s="196" t="s">
        <v>11</v>
      </c>
      <c r="D83" s="196">
        <v>29.8</v>
      </c>
      <c r="E83" s="196"/>
      <c r="F83" s="197" cm="1">
        <f t="array" ref="F83">IFERROR((0.75*F$18*FLOOR(F$20,0.05)*0.9*F$35*F$38*o_Isol_Bij_Tijdstip($A83,F$8,F$11))+(0.75*H$18*FLOOR(H$20,0.05)*0.9*H$35*H$38*o_Isol_Bij_Tijdstip($A83,F$8,F$11)),0)</f>
        <v>0</v>
      </c>
      <c r="G83" s="196" t="s">
        <v>11</v>
      </c>
      <c r="H83" s="196"/>
      <c r="I83" s="196"/>
      <c r="J83" s="197" cm="1">
        <f t="array" ref="J83">IFERROR((0.75*J$18*FLOOR(J$20,0.05)*0.9*J$35*J$38*o_Isol_Bij_Tijdstip($A83,J$8,J$11))+(0.75*L$18*FLOOR(L$20,0.05)*0.9*L$35*L$38*o_Isol_Bij_Tijdstip($A83,J$8,J$11)),0)</f>
        <v>0</v>
      </c>
      <c r="K83" s="196" t="s">
        <v>11</v>
      </c>
      <c r="L83" s="196"/>
      <c r="M83" s="196"/>
      <c r="N83" s="197" cm="1">
        <f t="array" ref="N83">IFERROR((0.75*N$18*FLOOR(N$20,0.05)*0.9*N$35*N$38*o_Isol_Bij_Tijdstip($A83,N$8,N$11))+(0.75*P$18*FLOOR(P$20,0.05)*0.9*P$35*P$38*o_Isol_Bij_Tijdstip($A83,N$8,N$11)),0)</f>
        <v>0</v>
      </c>
      <c r="O83" s="196" t="s">
        <v>11</v>
      </c>
      <c r="P83" s="196"/>
      <c r="Q83" s="196"/>
      <c r="R83" s="197" cm="1">
        <f t="array" ref="R83">IFERROR(IF(R$10="Nee",0,(0.75*R$18*FLOOR(R$20,0.05)*0.9*R$35*R$38*o_Isol_Bij_Tijdstip($A83,R$8,R$11))+(0.75*T$18*FLOOR(T$20,0.05)*0.9*T$35*T$38*o_Isol_Bij_Tijdstip($A83,R$8,R$11))),0)</f>
        <v>0</v>
      </c>
      <c r="S83" s="196" t="s">
        <v>11</v>
      </c>
      <c r="T83" s="197">
        <f t="shared" si="0"/>
        <v>0</v>
      </c>
      <c r="U83" s="196" t="s">
        <v>11</v>
      </c>
    </row>
    <row r="84" spans="1:21" hidden="1" x14ac:dyDescent="0.2">
      <c r="A84" s="201">
        <v>0.66666666666666796</v>
      </c>
      <c r="B84" s="197" cm="1">
        <f t="array" ref="B84">IFERROR((0.75*B$18*FLOOR(B$20,0.05)*0.9*B$35*B$38*o_Isol_Bij_Tijdstip($A84,B$8,B$11))+(0.75*D$18*FLOOR(D$20,0.05)*0.9*D$35*D$38*o_Isol_Bij_Tijdstip($A84,B$8,B$11)),0)</f>
        <v>0</v>
      </c>
      <c r="C84" s="196" t="s">
        <v>11</v>
      </c>
      <c r="D84" s="196">
        <v>30.4</v>
      </c>
      <c r="E84" s="196"/>
      <c r="F84" s="197" cm="1">
        <f t="array" ref="F84">IFERROR((0.75*F$18*FLOOR(F$20,0.05)*0.9*F$35*F$38*o_Isol_Bij_Tijdstip($A84,F$8,F$11))+(0.75*H$18*FLOOR(H$20,0.05)*0.9*H$35*H$38*o_Isol_Bij_Tijdstip($A84,F$8,F$11)),0)</f>
        <v>0</v>
      </c>
      <c r="G84" s="196" t="s">
        <v>11</v>
      </c>
      <c r="H84" s="196"/>
      <c r="I84" s="196"/>
      <c r="J84" s="197" cm="1">
        <f t="array" ref="J84">IFERROR((0.75*J$18*FLOOR(J$20,0.05)*0.9*J$35*J$38*o_Isol_Bij_Tijdstip($A84,J$8,J$11))+(0.75*L$18*FLOOR(L$20,0.05)*0.9*L$35*L$38*o_Isol_Bij_Tijdstip($A84,J$8,J$11)),0)</f>
        <v>0</v>
      </c>
      <c r="K84" s="196" t="s">
        <v>11</v>
      </c>
      <c r="L84" s="196"/>
      <c r="M84" s="196"/>
      <c r="N84" s="197" cm="1">
        <f t="array" ref="N84">IFERROR((0.75*N$18*FLOOR(N$20,0.05)*0.9*N$35*N$38*o_Isol_Bij_Tijdstip($A84,N$8,N$11))+(0.75*P$18*FLOOR(P$20,0.05)*0.9*P$35*P$38*o_Isol_Bij_Tijdstip($A84,N$8,N$11)),0)</f>
        <v>0</v>
      </c>
      <c r="O84" s="196" t="s">
        <v>11</v>
      </c>
      <c r="P84" s="196"/>
      <c r="Q84" s="196"/>
      <c r="R84" s="197" cm="1">
        <f t="array" ref="R84">IFERROR(IF(R$10="Nee",0,(0.75*R$18*FLOOR(R$20,0.05)*0.9*R$35*R$38*o_Isol_Bij_Tijdstip($A84,R$8,R$11))+(0.75*T$18*FLOOR(T$20,0.05)*0.9*T$35*T$38*o_Isol_Bij_Tijdstip($A84,R$8,R$11))),0)</f>
        <v>0</v>
      </c>
      <c r="S84" s="196" t="s">
        <v>11</v>
      </c>
      <c r="T84" s="197">
        <f t="shared" si="0"/>
        <v>0</v>
      </c>
      <c r="U84" s="196" t="s">
        <v>11</v>
      </c>
    </row>
    <row r="85" spans="1:21" hidden="1" x14ac:dyDescent="0.2">
      <c r="A85" s="201">
        <v>0.70833333333333504</v>
      </c>
      <c r="B85" s="197" cm="1">
        <f t="array" ref="B85">IFERROR((0.75*B$18*FLOOR(B$20,0.05)*0.9*B$35*B$38*o_Isol_Bij_Tijdstip($A85,B$8,B$11))+(0.75*D$18*FLOOR(D$20,0.05)*0.9*D$35*D$38*o_Isol_Bij_Tijdstip($A85,B$8,B$11)),0)</f>
        <v>0</v>
      </c>
      <c r="C85" s="196" t="s">
        <v>11</v>
      </c>
      <c r="D85" s="196">
        <v>30.6</v>
      </c>
      <c r="E85" s="196"/>
      <c r="F85" s="197" cm="1">
        <f t="array" ref="F85">IFERROR((0.75*F$18*FLOOR(F$20,0.05)*0.9*F$35*F$38*o_Isol_Bij_Tijdstip($A85,F$8,F$11))+(0.75*H$18*FLOOR(H$20,0.05)*0.9*H$35*H$38*o_Isol_Bij_Tijdstip($A85,F$8,F$11)),0)</f>
        <v>0</v>
      </c>
      <c r="G85" s="196" t="s">
        <v>11</v>
      </c>
      <c r="H85" s="196"/>
      <c r="I85" s="196"/>
      <c r="J85" s="197" cm="1">
        <f t="array" ref="J85">IFERROR((0.75*J$18*FLOOR(J$20,0.05)*0.9*J$35*J$38*o_Isol_Bij_Tijdstip($A85,J$8,J$11))+(0.75*L$18*FLOOR(L$20,0.05)*0.9*L$35*L$38*o_Isol_Bij_Tijdstip($A85,J$8,J$11)),0)</f>
        <v>0</v>
      </c>
      <c r="K85" s="196" t="s">
        <v>11</v>
      </c>
      <c r="L85" s="196"/>
      <c r="M85" s="196"/>
      <c r="N85" s="197" cm="1">
        <f t="array" ref="N85">IFERROR((0.75*N$18*FLOOR(N$20,0.05)*0.9*N$35*N$38*o_Isol_Bij_Tijdstip($A85,N$8,N$11))+(0.75*P$18*FLOOR(P$20,0.05)*0.9*P$35*P$38*o_Isol_Bij_Tijdstip($A85,N$8,N$11)),0)</f>
        <v>0</v>
      </c>
      <c r="O85" s="196" t="s">
        <v>11</v>
      </c>
      <c r="P85" s="196"/>
      <c r="Q85" s="196"/>
      <c r="R85" s="197" cm="1">
        <f t="array" ref="R85">IFERROR(IF(R$10="Nee",0,(0.75*R$18*FLOOR(R$20,0.05)*0.9*R$35*R$38*o_Isol_Bij_Tijdstip($A85,R$8,R$11))+(0.75*T$18*FLOOR(T$20,0.05)*0.9*T$35*T$38*o_Isol_Bij_Tijdstip($A85,R$8,R$11))),0)</f>
        <v>0</v>
      </c>
      <c r="S85" s="196" t="s">
        <v>11</v>
      </c>
      <c r="T85" s="197">
        <f t="shared" si="0"/>
        <v>0</v>
      </c>
      <c r="U85" s="196" t="s">
        <v>11</v>
      </c>
    </row>
    <row r="86" spans="1:21" hidden="1" x14ac:dyDescent="0.2">
      <c r="A86" s="201">
        <v>0.750000000000002</v>
      </c>
      <c r="B86" s="197" cm="1">
        <f t="array" ref="B86">IFERROR((0.75*B$18*FLOOR(B$20,0.05)*0.9*B$35*B$38*o_Isol_Bij_Tijdstip($A86,B$8,B$11))+(0.75*D$18*FLOOR(D$20,0.05)*0.9*D$35*D$38*o_Isol_Bij_Tijdstip($A86,B$8,B$11)),0)</f>
        <v>0</v>
      </c>
      <c r="C86" s="196" t="s">
        <v>11</v>
      </c>
      <c r="D86" s="196">
        <v>30.1</v>
      </c>
      <c r="E86" s="196"/>
      <c r="F86" s="197" cm="1">
        <f t="array" ref="F86">IFERROR((0.75*F$18*FLOOR(F$20,0.05)*0.9*F$35*F$38*o_Isol_Bij_Tijdstip($A86,F$8,F$11))+(0.75*H$18*FLOOR(H$20,0.05)*0.9*H$35*H$38*o_Isol_Bij_Tijdstip($A86,F$8,F$11)),0)</f>
        <v>0</v>
      </c>
      <c r="G86" s="196" t="s">
        <v>11</v>
      </c>
      <c r="H86" s="196"/>
      <c r="I86" s="196"/>
      <c r="J86" s="197" cm="1">
        <f t="array" ref="J86">IFERROR((0.75*J$18*FLOOR(J$20,0.05)*0.9*J$35*J$38*o_Isol_Bij_Tijdstip($A86,J$8,J$11))+(0.75*L$18*FLOOR(L$20,0.05)*0.9*L$35*L$38*o_Isol_Bij_Tijdstip($A86,J$8,J$11)),0)</f>
        <v>0</v>
      </c>
      <c r="K86" s="196" t="s">
        <v>11</v>
      </c>
      <c r="L86" s="196"/>
      <c r="M86" s="196"/>
      <c r="N86" s="197" cm="1">
        <f t="array" ref="N86">IFERROR((0.75*N$18*FLOOR(N$20,0.05)*0.9*N$35*N$38*o_Isol_Bij_Tijdstip($A86,N$8,N$11))+(0.75*P$18*FLOOR(P$20,0.05)*0.9*P$35*P$38*o_Isol_Bij_Tijdstip($A86,N$8,N$11)),0)</f>
        <v>0</v>
      </c>
      <c r="O86" s="196" t="s">
        <v>11</v>
      </c>
      <c r="P86" s="196"/>
      <c r="Q86" s="196"/>
      <c r="R86" s="197" cm="1">
        <f t="array" ref="R86">IFERROR(IF(R$10="Nee",0,(0.75*R$18*FLOOR(R$20,0.05)*0.9*R$35*R$38*o_Isol_Bij_Tijdstip($A86,R$8,R$11))+(0.75*T$18*FLOOR(T$20,0.05)*0.9*T$35*T$38*o_Isol_Bij_Tijdstip($A86,R$8,R$11))),0)</f>
        <v>0</v>
      </c>
      <c r="S86" s="196" t="s">
        <v>11</v>
      </c>
      <c r="T86" s="197">
        <f t="shared" si="0"/>
        <v>0</v>
      </c>
      <c r="U86" s="196" t="s">
        <v>11</v>
      </c>
    </row>
    <row r="87" spans="1:21" hidden="1" x14ac:dyDescent="0.2">
      <c r="A87" s="201"/>
      <c r="B87" s="196"/>
      <c r="C87" s="196"/>
      <c r="D87" s="196"/>
      <c r="E87" s="196"/>
      <c r="F87" s="196"/>
      <c r="G87" s="196"/>
      <c r="H87" s="196"/>
      <c r="I87" s="196"/>
      <c r="J87" s="196"/>
      <c r="K87" s="196"/>
      <c r="L87" s="196"/>
      <c r="M87" s="196"/>
      <c r="N87" s="196"/>
      <c r="O87" s="196"/>
      <c r="P87" s="196"/>
      <c r="Q87" s="196"/>
      <c r="R87" s="196"/>
      <c r="S87" s="196"/>
      <c r="T87" s="196"/>
      <c r="U87" s="196"/>
    </row>
    <row r="88" spans="1:21" hidden="1" x14ac:dyDescent="0.2">
      <c r="A88" s="196" t="s">
        <v>151</v>
      </c>
      <c r="B88" s="200" t="str">
        <f>IF(MAX(T77:T86)=0,"Geen glas aanwezig",_xlfn.XLOOKUP(MAX(T77:T86),T77:T86,A77:A86,"nvt"))</f>
        <v>Geen glas aanwezig</v>
      </c>
      <c r="C88" s="196"/>
      <c r="D88" s="196"/>
      <c r="E88" s="196"/>
      <c r="F88" s="196"/>
      <c r="G88" s="196"/>
      <c r="H88" s="196"/>
      <c r="I88" s="196"/>
      <c r="J88" s="196"/>
      <c r="K88" s="196"/>
      <c r="L88" s="196"/>
      <c r="M88" s="196"/>
      <c r="N88" s="196"/>
      <c r="O88" s="196"/>
      <c r="P88" s="196"/>
      <c r="Q88" s="196"/>
      <c r="R88" s="196"/>
      <c r="S88" s="196"/>
      <c r="T88" s="196"/>
      <c r="U88" s="196"/>
    </row>
    <row r="89" spans="1:21" hidden="1" x14ac:dyDescent="0.2"/>
    <row r="90" spans="1:21" hidden="1" x14ac:dyDescent="0.2"/>
    <row r="91" spans="1:21" hidden="1" x14ac:dyDescent="0.2"/>
    <row r="92" spans="1:21" hidden="1" x14ac:dyDescent="0.2"/>
    <row r="93" spans="1:21" hidden="1" x14ac:dyDescent="0.2"/>
    <row r="94" spans="1:21" hidden="1" x14ac:dyDescent="0.2"/>
    <row r="95" spans="1:21" hidden="1" x14ac:dyDescent="0.2"/>
  </sheetData>
  <sheetProtection algorithmName="SHA-512" hashValue="2P6GUy3H3NK0LJupPnYbQEyQJ3tLHh9u9dc+2nVGYMQvD6Pk+lzQN+mnAQRJUeJySXw07wCabonLfyNHi3GNUw==" saltValue="SBVoLb432nYm+4ErTHoW4w==" spinCount="100000" sheet="1" objects="1" scenarios="1" selectLockedCells="1"/>
  <mergeCells count="41">
    <mergeCell ref="B60:D60"/>
    <mergeCell ref="B61:D61"/>
    <mergeCell ref="B63:D63"/>
    <mergeCell ref="B64:D64"/>
    <mergeCell ref="B57:D57"/>
    <mergeCell ref="F57:H57"/>
    <mergeCell ref="J57:L57"/>
    <mergeCell ref="N57:P57"/>
    <mergeCell ref="R57:T57"/>
    <mergeCell ref="B58:D58"/>
    <mergeCell ref="F58:H58"/>
    <mergeCell ref="J58:L58"/>
    <mergeCell ref="N58:P58"/>
    <mergeCell ref="R58:T58"/>
    <mergeCell ref="R41:T41"/>
    <mergeCell ref="B56:D56"/>
    <mergeCell ref="F56:H56"/>
    <mergeCell ref="J56:L56"/>
    <mergeCell ref="N56:P56"/>
    <mergeCell ref="R56:T56"/>
    <mergeCell ref="B55:D55"/>
    <mergeCell ref="F55:H55"/>
    <mergeCell ref="J55:L55"/>
    <mergeCell ref="N55:P55"/>
    <mergeCell ref="R55:T55"/>
    <mergeCell ref="A71:U72"/>
    <mergeCell ref="A1:U1"/>
    <mergeCell ref="B7:D7"/>
    <mergeCell ref="F7:H7"/>
    <mergeCell ref="J7:L7"/>
    <mergeCell ref="N7:P7"/>
    <mergeCell ref="R7:U7"/>
    <mergeCell ref="B42:D42"/>
    <mergeCell ref="F42:H42"/>
    <mergeCell ref="J42:L42"/>
    <mergeCell ref="N42:P42"/>
    <mergeCell ref="R42:T42"/>
    <mergeCell ref="B41:D41"/>
    <mergeCell ref="F41:H41"/>
    <mergeCell ref="J41:L41"/>
    <mergeCell ref="N41:P41"/>
  </mergeCells>
  <conditionalFormatting sqref="B77:B86">
    <cfRule type="colorScale" priority="6">
      <colorScale>
        <cfvo type="min"/>
        <cfvo type="percentile" val="50"/>
        <cfvo type="max"/>
        <color rgb="FF61D6FF"/>
        <color rgb="FFFFD85D"/>
        <color rgb="FFFF6D6D"/>
      </colorScale>
    </cfRule>
  </conditionalFormatting>
  <conditionalFormatting sqref="T77:T86">
    <cfRule type="colorScale" priority="5">
      <colorScale>
        <cfvo type="min"/>
        <cfvo type="percentile" val="50"/>
        <cfvo type="max"/>
        <color rgb="FF61D6FF"/>
        <color rgb="FFFFD85D"/>
        <color rgb="FFFF6D6D"/>
      </colorScale>
    </cfRule>
  </conditionalFormatting>
  <conditionalFormatting sqref="F77:F86">
    <cfRule type="colorScale" priority="4">
      <colorScale>
        <cfvo type="min"/>
        <cfvo type="percentile" val="50"/>
        <cfvo type="max"/>
        <color rgb="FF61D6FF"/>
        <color rgb="FFFFD85D"/>
        <color rgb="FFFF6D6D"/>
      </colorScale>
    </cfRule>
  </conditionalFormatting>
  <conditionalFormatting sqref="J77:J86">
    <cfRule type="colorScale" priority="3">
      <colorScale>
        <cfvo type="min"/>
        <cfvo type="percentile" val="50"/>
        <cfvo type="max"/>
        <color rgb="FF61D6FF"/>
        <color rgb="FFFFD85D"/>
        <color rgb="FFFF6D6D"/>
      </colorScale>
    </cfRule>
  </conditionalFormatting>
  <conditionalFormatting sqref="N77:N86">
    <cfRule type="colorScale" priority="2">
      <colorScale>
        <cfvo type="min"/>
        <cfvo type="percentile" val="50"/>
        <cfvo type="max"/>
        <color rgb="FF61D6FF"/>
        <color rgb="FFFFD85D"/>
        <color rgb="FFFF6D6D"/>
      </colorScale>
    </cfRule>
  </conditionalFormatting>
  <conditionalFormatting sqref="R77:R86">
    <cfRule type="colorScale" priority="1">
      <colorScale>
        <cfvo type="min"/>
        <cfvo type="percentile" val="50"/>
        <cfvo type="max"/>
        <color rgb="FF61D6FF"/>
        <color rgb="FFFFD85D"/>
        <color rgb="FFFF6D6D"/>
      </colorScale>
    </cfRule>
  </conditionalFormatting>
  <dataValidations count="5">
    <dataValidation type="list" allowBlank="1" showInputMessage="1" showErrorMessage="1" sqref="B4" xr:uid="{179C29C3-28EC-4DD2-8609-E933B0924E47}">
      <formula1>"Woonvertrek, Andere verblijfsruimte"</formula1>
    </dataValidation>
    <dataValidation type="list" allowBlank="1" showInputMessage="1" showErrorMessage="1" sqref="P30 L30 D30 N30 H30 F30 J30 B30" xr:uid="{A7CEA2D2-7498-4AEB-8FCA-3F7313CD4147}">
      <formula1>"Links,Rechts,Beide zijden"</formula1>
    </dataValidation>
    <dataValidation type="whole" allowBlank="1" showErrorMessage="1" error="Een platdak heeft een helling van maximaal 15°, voor daken in bij gevels op de juiste orientatie" sqref="R11" xr:uid="{B8EA47D7-AD09-4060-BBDF-86BCFF010950}">
      <formula1>0</formula1>
      <formula2>15</formula2>
    </dataValidation>
    <dataValidation type="whole" allowBlank="1" showErrorMessage="1" error="Een helling &lt; 15° is en platdak voer deze bij kolom R in. _x000a_90° is de maximale invoerwaarde" sqref="H11 D11 L10:L11 B11 F11 J11 K8:M9 O8:Q10 T11 N11 K10 M10 P11:P12 Q11:Q16 P15:P16" xr:uid="{29CAC4DD-5BCB-453A-9143-E847C30D4A7F}">
      <formula1>15</formula1>
      <formula2>90</formula2>
    </dataValidation>
    <dataValidation type="list" allowBlank="1" showInputMessage="1" showErrorMessage="1" sqref="F10 B10 J10 N10 R10" xr:uid="{7F67184D-9C88-4C34-81A0-B223FBEA1C90}">
      <formula1>"Nee,Ja"</formula1>
    </dataValidation>
  </dataValidations>
  <pageMargins left="0.23622047244094491" right="0.23622047244094491" top="0.74803149606299213" bottom="0.74803149606299213" header="0.31496062992125984" footer="0.31496062992125984"/>
  <pageSetup paperSize="9" scale="48" orientation="landscape" r:id="rId1"/>
  <headerFooter alignWithMargins="0">
    <oddHeader>&amp;CREKENTOOL VEREENVOUDIGDE BEPALINGSMETHODE KOELBEHOEFTE (BIJLAGE AA - VERSIE 2025 -NTA 8800)&amp;Rversie 2025.04 d.d. 09-04-2025</oddHeader>
    <oddFooter>&amp;LPrint datum:&amp;D &amp;T_x000D_&amp;1#&amp;"Calibri"&amp;10&amp;K000000 Intern gebruik&amp;C&amp;F&amp;R&amp;P van &amp;N</oddFooter>
  </headerFooter>
  <drawing r:id="rId2"/>
  <legacyDrawing r:id="rId3"/>
  <controls>
    <mc:AlternateContent xmlns:mc="http://schemas.openxmlformats.org/markup-compatibility/2006">
      <mc:Choice Requires="x14">
        <control shapeId="12320" r:id="rId4" name="CommandButton1">
          <controlPr defaultSize="0" autoLine="0" r:id="rId5">
            <anchor moveWithCells="1">
              <from>
                <xdr:col>3</xdr:col>
                <xdr:colOff>209550</xdr:colOff>
                <xdr:row>1</xdr:row>
                <xdr:rowOff>133350</xdr:rowOff>
              </from>
              <to>
                <xdr:col>5</xdr:col>
                <xdr:colOff>38100</xdr:colOff>
                <xdr:row>4</xdr:row>
                <xdr:rowOff>9525</xdr:rowOff>
              </to>
            </anchor>
          </controlPr>
        </control>
      </mc:Choice>
      <mc:Fallback>
        <control shapeId="12320" r:id="rId4" name="CommandButton1"/>
      </mc:Fallback>
    </mc:AlternateContent>
  </controls>
  <extLst>
    <ext xmlns:x14="http://schemas.microsoft.com/office/spreadsheetml/2009/9/main" uri="{CCE6A557-97BC-4b89-ADB6-D9C93CAAB3DF}">
      <x14:dataValidations xmlns:xm="http://schemas.microsoft.com/office/excel/2006/main" count="5">
        <x14:dataValidation type="list" allowBlank="1" showInputMessage="1" showErrorMessage="1" xr:uid="{83FD5570-27BF-4C89-8AED-86EF8B9239A7}">
          <x14:formula1>
            <xm:f>Tabellen!$A$42:$A$49</xm:f>
          </x14:formula1>
          <xm:sqref>F8 J8 N8</xm:sqref>
        </x14:dataValidation>
        <x14:dataValidation type="list" allowBlank="1" showInputMessage="1" showErrorMessage="1" xr:uid="{000E423D-5C2F-4686-93F8-742698973359}">
          <x14:formula1>
            <xm:f>Tabellen!$A$103:$A$108</xm:f>
          </x14:formula1>
          <xm:sqref>L21 H21 B21 D21 N21 F21 P21 J21</xm:sqref>
        </x14:dataValidation>
        <x14:dataValidation type="list" allowBlank="1" showInputMessage="1" showErrorMessage="1" xr:uid="{87FC7D40-4F5A-473A-A0CA-2E993BA37352}">
          <x14:formula1>
            <xm:f>Tabellen!$A$111:$A$113</xm:f>
          </x14:formula1>
          <xm:sqref>R21 T21</xm:sqref>
        </x14:dataValidation>
        <x14:dataValidation type="list" allowBlank="1" showInputMessage="1" showErrorMessage="1" xr:uid="{4FD8B8EA-B7DB-42B0-AA5B-28898391D493}">
          <x14:formula1>
            <xm:f>Tabellen!$A$85:$A$99</xm:f>
          </x14:formula1>
          <xm:sqref>P37 N37 D37 B37 H37 L37 F37 J37</xm:sqref>
        </x14:dataValidation>
        <x14:dataValidation type="list" allowBlank="1" showInputMessage="1" showErrorMessage="1" xr:uid="{C06CBDAC-0E0A-469E-901C-9A483527D760}">
          <x14:formula1>
            <xm:f>Tabellen!$A$85:$A$97</xm:f>
          </x14:formula1>
          <xm:sqref>R37 T37</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57E63-B8BF-4452-8F3C-CFA484083658}">
  <sheetPr codeName="Blad13">
    <pageSetUpPr fitToPage="1"/>
  </sheetPr>
  <dimension ref="A1:U95"/>
  <sheetViews>
    <sheetView showGridLines="0" zoomScale="90" zoomScaleNormal="90" workbookViewId="0">
      <selection activeCell="B3" sqref="B3"/>
    </sheetView>
  </sheetViews>
  <sheetFormatPr defaultColWidth="9.140625" defaultRowHeight="12" x14ac:dyDescent="0.2"/>
  <cols>
    <col min="1" max="1" width="49.7109375" style="202" bestFit="1" customWidth="1"/>
    <col min="2" max="2" width="18.28515625" style="202" customWidth="1"/>
    <col min="3" max="3" width="6.28515625" style="202" bestFit="1" customWidth="1"/>
    <col min="4" max="4" width="18.28515625" style="202" customWidth="1"/>
    <col min="5" max="5" width="6.28515625" style="202" bestFit="1" customWidth="1"/>
    <col min="6" max="6" width="18.28515625" style="202" customWidth="1"/>
    <col min="7" max="7" width="6.28515625" style="202" bestFit="1" customWidth="1"/>
    <col min="8" max="8" width="18.28515625" style="202" customWidth="1"/>
    <col min="9" max="9" width="6.28515625" style="202" bestFit="1" customWidth="1"/>
    <col min="10" max="10" width="18.28515625" style="202" customWidth="1"/>
    <col min="11" max="11" width="6.28515625" style="202" bestFit="1" customWidth="1"/>
    <col min="12" max="12" width="18.28515625" style="202" customWidth="1"/>
    <col min="13" max="13" width="6.28515625" style="202" bestFit="1" customWidth="1"/>
    <col min="14" max="14" width="18.28515625" style="202" customWidth="1"/>
    <col min="15" max="15" width="6.28515625" style="202" bestFit="1" customWidth="1"/>
    <col min="16" max="16" width="18.28515625" style="202" customWidth="1"/>
    <col min="17" max="17" width="6.28515625" style="202" bestFit="1" customWidth="1"/>
    <col min="18" max="18" width="18.28515625" style="202" customWidth="1"/>
    <col min="19" max="19" width="6.28515625" style="202" bestFit="1" customWidth="1"/>
    <col min="20" max="20" width="18.28515625" style="194" customWidth="1"/>
    <col min="21" max="21" width="6.7109375" style="194" bestFit="1" customWidth="1"/>
    <col min="22" max="16384" width="9.140625" style="194"/>
  </cols>
  <sheetData>
    <row r="1" spans="1:21" s="192" customFormat="1" ht="24" customHeight="1" x14ac:dyDescent="0.2">
      <c r="A1" s="251" t="s">
        <v>203</v>
      </c>
      <c r="B1" s="251"/>
      <c r="C1" s="251"/>
      <c r="D1" s="251"/>
      <c r="E1" s="251"/>
      <c r="F1" s="251"/>
      <c r="G1" s="251"/>
      <c r="H1" s="251"/>
      <c r="I1" s="251"/>
      <c r="J1" s="251"/>
      <c r="K1" s="251"/>
      <c r="L1" s="251"/>
      <c r="M1" s="251"/>
      <c r="N1" s="251"/>
      <c r="O1" s="251"/>
      <c r="P1" s="251"/>
      <c r="Q1" s="251"/>
      <c r="R1" s="251"/>
      <c r="S1" s="251"/>
      <c r="T1" s="251"/>
      <c r="U1" s="251"/>
    </row>
    <row r="2" spans="1:21" s="193" customFormat="1" ht="12" customHeight="1" x14ac:dyDescent="0.2">
      <c r="A2" s="65"/>
      <c r="B2" s="75"/>
      <c r="C2" s="75"/>
      <c r="D2" s="75"/>
      <c r="E2" s="75"/>
      <c r="F2" s="75"/>
      <c r="G2" s="75"/>
      <c r="H2" s="75"/>
      <c r="I2" s="75"/>
      <c r="J2" s="75"/>
      <c r="K2" s="75"/>
      <c r="L2" s="75"/>
      <c r="M2" s="75"/>
      <c r="N2" s="75"/>
      <c r="O2" s="75"/>
      <c r="P2" s="75"/>
      <c r="Q2" s="75"/>
      <c r="R2" s="35"/>
      <c r="S2" s="35"/>
      <c r="T2" s="35"/>
      <c r="U2" s="35"/>
    </row>
    <row r="3" spans="1:21" ht="12" customHeight="1" x14ac:dyDescent="0.2">
      <c r="A3" s="36" t="s">
        <v>107</v>
      </c>
      <c r="B3" s="221"/>
      <c r="C3" s="75"/>
      <c r="D3" s="75"/>
      <c r="E3" s="75"/>
      <c r="F3" s="35"/>
      <c r="G3" s="75"/>
      <c r="H3" s="75"/>
      <c r="I3" s="75"/>
      <c r="J3" s="75"/>
      <c r="K3" s="75"/>
      <c r="L3" s="75"/>
      <c r="M3" s="75"/>
      <c r="N3" s="75"/>
      <c r="O3" s="75"/>
      <c r="P3" s="75"/>
      <c r="Q3" s="75"/>
      <c r="R3" s="35"/>
      <c r="S3" s="35"/>
      <c r="T3" s="35"/>
      <c r="U3" s="35"/>
    </row>
    <row r="4" spans="1:21" ht="12" customHeight="1" x14ac:dyDescent="0.2">
      <c r="A4" s="36" t="s">
        <v>191</v>
      </c>
      <c r="B4" s="33" t="s">
        <v>195</v>
      </c>
      <c r="C4" s="75"/>
      <c r="D4" s="75"/>
      <c r="E4" s="75"/>
      <c r="F4" s="35"/>
      <c r="G4" s="75"/>
      <c r="H4" s="75"/>
      <c r="I4" s="75"/>
      <c r="J4" s="75"/>
      <c r="K4" s="75"/>
      <c r="L4" s="75"/>
      <c r="M4" s="75"/>
      <c r="N4" s="75"/>
      <c r="O4" s="75"/>
      <c r="P4" s="75"/>
      <c r="Q4" s="75"/>
      <c r="R4" s="35"/>
      <c r="S4" s="35"/>
      <c r="T4" s="35"/>
      <c r="U4" s="35"/>
    </row>
    <row r="5" spans="1:21" ht="12" customHeight="1" x14ac:dyDescent="0.25">
      <c r="A5" s="39" t="s">
        <v>180</v>
      </c>
      <c r="B5" s="34">
        <v>0</v>
      </c>
      <c r="C5" s="36" t="s">
        <v>0</v>
      </c>
      <c r="D5" s="75"/>
      <c r="E5" s="75"/>
      <c r="F5" s="35"/>
      <c r="G5" s="75"/>
      <c r="H5" s="75"/>
      <c r="I5" s="75"/>
      <c r="J5" s="75"/>
      <c r="K5" s="75"/>
      <c r="L5" s="75"/>
      <c r="M5" s="75"/>
      <c r="N5" s="75"/>
      <c r="O5" s="75"/>
      <c r="P5" s="75"/>
      <c r="Q5" s="75"/>
      <c r="R5" s="35"/>
      <c r="S5" s="35"/>
      <c r="T5" s="35"/>
      <c r="U5" s="35"/>
    </row>
    <row r="6" spans="1:21" s="195" customFormat="1" ht="12" customHeight="1" x14ac:dyDescent="0.2">
      <c r="A6" s="75"/>
      <c r="B6" s="75"/>
      <c r="C6" s="75"/>
      <c r="D6" s="75"/>
      <c r="E6" s="75"/>
      <c r="F6" s="75"/>
      <c r="G6" s="75"/>
      <c r="H6" s="75"/>
      <c r="I6" s="75"/>
      <c r="J6" s="75"/>
      <c r="K6" s="75"/>
      <c r="L6" s="75"/>
      <c r="M6" s="75"/>
      <c r="N6" s="75"/>
      <c r="O6" s="75"/>
      <c r="P6" s="75"/>
      <c r="Q6" s="75"/>
      <c r="R6" s="75"/>
      <c r="S6" s="35"/>
      <c r="T6" s="35"/>
      <c r="U6" s="35"/>
    </row>
    <row r="7" spans="1:21" s="193" customFormat="1" ht="12" customHeight="1" x14ac:dyDescent="0.2">
      <c r="A7" s="65"/>
      <c r="B7" s="237" t="s">
        <v>181</v>
      </c>
      <c r="C7" s="237"/>
      <c r="D7" s="237"/>
      <c r="E7" s="76"/>
      <c r="F7" s="238" t="s">
        <v>182</v>
      </c>
      <c r="G7" s="237"/>
      <c r="H7" s="237"/>
      <c r="I7" s="76"/>
      <c r="J7" s="237" t="s">
        <v>183</v>
      </c>
      <c r="K7" s="237"/>
      <c r="L7" s="237"/>
      <c r="M7" s="76"/>
      <c r="N7" s="237" t="s">
        <v>184</v>
      </c>
      <c r="O7" s="237"/>
      <c r="P7" s="237"/>
      <c r="Q7" s="76"/>
      <c r="R7" s="238" t="s">
        <v>5</v>
      </c>
      <c r="S7" s="238"/>
      <c r="T7" s="238"/>
      <c r="U7" s="238"/>
    </row>
    <row r="8" spans="1:21" s="195" customFormat="1" ht="12" customHeight="1" x14ac:dyDescent="0.2">
      <c r="A8" s="72" t="s">
        <v>129</v>
      </c>
      <c r="B8" s="77">
        <f>'Projectgegevens en Resultaten'!$B$17</f>
        <v>0</v>
      </c>
      <c r="C8" s="183"/>
      <c r="D8" s="183"/>
      <c r="E8" s="183"/>
      <c r="F8" s="184" t="str">
        <f>o_Orientatie(F9)</f>
        <v>Oost</v>
      </c>
      <c r="G8" s="183"/>
      <c r="H8" s="183"/>
      <c r="I8" s="183"/>
      <c r="J8" s="184" t="str">
        <f>o_Orientatie(J9)</f>
        <v>Zuid</v>
      </c>
      <c r="K8" s="185"/>
      <c r="L8" s="185"/>
      <c r="M8" s="185"/>
      <c r="N8" s="184" t="str">
        <f>o_Orientatie(N9)</f>
        <v>West</v>
      </c>
      <c r="O8" s="185"/>
      <c r="P8" s="185"/>
      <c r="Q8" s="185"/>
      <c r="R8" s="186" t="s">
        <v>62</v>
      </c>
      <c r="S8" s="79"/>
      <c r="T8" s="78"/>
      <c r="U8" s="78"/>
    </row>
    <row r="9" spans="1:21" ht="12" hidden="1" customHeight="1" x14ac:dyDescent="0.2">
      <c r="A9" s="70" t="s">
        <v>132</v>
      </c>
      <c r="B9" s="80" cm="1">
        <f t="array" ref="B9">o_OrientatiehOEK(B8)</f>
        <v>0</v>
      </c>
      <c r="C9" s="187"/>
      <c r="D9" s="187"/>
      <c r="E9" s="187"/>
      <c r="F9" s="80">
        <f>IF(B9+90&gt;360,B9+90-360,B9+90)</f>
        <v>90</v>
      </c>
      <c r="G9" s="188"/>
      <c r="H9" s="188"/>
      <c r="I9" s="188"/>
      <c r="J9" s="80">
        <f>IF(F9+90&gt;360,F9+90-360,F9+90)</f>
        <v>180</v>
      </c>
      <c r="K9" s="185"/>
      <c r="L9" s="185"/>
      <c r="M9" s="185"/>
      <c r="N9" s="80">
        <f>IF(J9+90&gt;360,J9+90-360,J9+90)</f>
        <v>270</v>
      </c>
      <c r="O9" s="185"/>
      <c r="P9" s="185"/>
      <c r="Q9" s="185"/>
      <c r="R9" s="188"/>
      <c r="S9" s="79"/>
      <c r="T9" s="104"/>
      <c r="U9" s="104"/>
    </row>
    <row r="10" spans="1:21" s="195" customFormat="1" x14ac:dyDescent="0.2">
      <c r="A10" s="70" t="s">
        <v>102</v>
      </c>
      <c r="B10" s="44" t="s">
        <v>101</v>
      </c>
      <c r="C10" s="187"/>
      <c r="D10" s="187"/>
      <c r="E10" s="187"/>
      <c r="F10" s="44" t="s">
        <v>101</v>
      </c>
      <c r="G10" s="187"/>
      <c r="H10" s="187"/>
      <c r="I10" s="187"/>
      <c r="J10" s="44" t="s">
        <v>101</v>
      </c>
      <c r="K10" s="189"/>
      <c r="L10" s="189"/>
      <c r="M10" s="189"/>
      <c r="N10" s="44" t="s">
        <v>101</v>
      </c>
      <c r="O10" s="189"/>
      <c r="P10" s="189"/>
      <c r="Q10" s="189"/>
      <c r="R10" s="44" t="s">
        <v>101</v>
      </c>
      <c r="S10" s="82"/>
      <c r="T10" s="81"/>
      <c r="U10" s="81"/>
    </row>
    <row r="11" spans="1:21" s="195" customFormat="1" ht="12" customHeight="1" x14ac:dyDescent="0.2">
      <c r="A11" s="70" t="s">
        <v>133</v>
      </c>
      <c r="B11" s="210">
        <v>90</v>
      </c>
      <c r="C11" s="214" t="s">
        <v>103</v>
      </c>
      <c r="D11" s="210"/>
      <c r="E11" s="219"/>
      <c r="F11" s="210">
        <v>90</v>
      </c>
      <c r="G11" s="214" t="s">
        <v>103</v>
      </c>
      <c r="H11" s="210"/>
      <c r="I11" s="214"/>
      <c r="J11" s="210">
        <v>90</v>
      </c>
      <c r="K11" s="214" t="s">
        <v>103</v>
      </c>
      <c r="L11" s="210"/>
      <c r="M11" s="214"/>
      <c r="N11" s="210">
        <v>90</v>
      </c>
      <c r="O11" s="214" t="s">
        <v>103</v>
      </c>
      <c r="P11" s="210"/>
      <c r="Q11" s="210"/>
      <c r="R11" s="211">
        <v>0</v>
      </c>
      <c r="S11" s="214" t="s">
        <v>103</v>
      </c>
      <c r="T11" s="210"/>
      <c r="U11" s="214"/>
    </row>
    <row r="12" spans="1:21" s="195" customFormat="1" ht="12" customHeight="1" x14ac:dyDescent="0.2">
      <c r="A12" s="70" t="s">
        <v>130</v>
      </c>
      <c r="B12" s="211" t="str" cm="1">
        <f t="array" ref="B12">o_TypeConstructie(B10,B11)</f>
        <v>Woningscheidend</v>
      </c>
      <c r="C12" s="211"/>
      <c r="D12" s="211"/>
      <c r="E12" s="209"/>
      <c r="F12" s="211" t="str" cm="1">
        <f t="array" ref="F12">o_TypeConstructie(F10,F11)</f>
        <v>Woningscheidend</v>
      </c>
      <c r="G12" s="209"/>
      <c r="H12" s="211"/>
      <c r="I12" s="209"/>
      <c r="J12" s="211" t="str" cm="1">
        <f t="array" ref="J12">o_TypeConstructie(J10,J11)</f>
        <v>Woningscheidend</v>
      </c>
      <c r="K12" s="209"/>
      <c r="L12" s="211"/>
      <c r="M12" s="209"/>
      <c r="N12" s="211" t="str" cm="1">
        <f t="array" ref="N12">o_TypeConstructie(N10,N11)</f>
        <v>Woningscheidend</v>
      </c>
      <c r="O12" s="209"/>
      <c r="P12" s="211"/>
      <c r="Q12" s="211"/>
      <c r="R12" s="211" t="str" cm="1">
        <f t="array" ref="R12">o_TypeConstructie(R10,R11)</f>
        <v>Woningscheidend</v>
      </c>
      <c r="S12" s="207"/>
      <c r="T12" s="210"/>
      <c r="U12" s="214"/>
    </row>
    <row r="13" spans="1:21" s="195" customFormat="1" ht="12" customHeight="1" x14ac:dyDescent="0.2">
      <c r="A13" s="70" t="s">
        <v>127</v>
      </c>
      <c r="B13" s="207"/>
      <c r="C13" s="207" t="s">
        <v>1</v>
      </c>
      <c r="D13" s="207"/>
      <c r="E13" s="208"/>
      <c r="F13" s="207"/>
      <c r="G13" s="207" t="s">
        <v>1</v>
      </c>
      <c r="H13" s="207"/>
      <c r="I13" s="208"/>
      <c r="J13" s="207"/>
      <c r="K13" s="207" t="s">
        <v>1</v>
      </c>
      <c r="L13" s="207"/>
      <c r="M13" s="208"/>
      <c r="N13" s="207"/>
      <c r="O13" s="207" t="s">
        <v>1</v>
      </c>
      <c r="P13" s="207"/>
      <c r="Q13" s="208"/>
      <c r="R13" s="207"/>
      <c r="S13" s="207" t="s">
        <v>1</v>
      </c>
      <c r="T13" s="208"/>
      <c r="U13" s="208"/>
    </row>
    <row r="14" spans="1:21" s="195" customFormat="1" ht="12" customHeight="1" x14ac:dyDescent="0.2">
      <c r="A14" s="83" t="s">
        <v>128</v>
      </c>
      <c r="B14" s="207"/>
      <c r="C14" s="207" t="s">
        <v>1</v>
      </c>
      <c r="D14" s="207"/>
      <c r="E14" s="208"/>
      <c r="F14" s="207"/>
      <c r="G14" s="207" t="s">
        <v>1</v>
      </c>
      <c r="H14" s="207"/>
      <c r="I14" s="208"/>
      <c r="J14" s="207"/>
      <c r="K14" s="207" t="s">
        <v>1</v>
      </c>
      <c r="L14" s="207"/>
      <c r="M14" s="208"/>
      <c r="N14" s="207"/>
      <c r="O14" s="207" t="s">
        <v>1</v>
      </c>
      <c r="P14" s="207"/>
      <c r="Q14" s="208"/>
      <c r="R14" s="207"/>
      <c r="S14" s="207" t="s">
        <v>1</v>
      </c>
      <c r="T14" s="208"/>
      <c r="U14" s="208"/>
    </row>
    <row r="15" spans="1:21" s="195" customFormat="1" ht="12" customHeight="1" x14ac:dyDescent="0.2">
      <c r="A15" s="36" t="s">
        <v>104</v>
      </c>
      <c r="B15" s="208">
        <f>B13*B14</f>
        <v>0</v>
      </c>
      <c r="C15" s="208" t="s">
        <v>0</v>
      </c>
      <c r="D15" s="208"/>
      <c r="E15" s="208"/>
      <c r="F15" s="208">
        <f>F13*F14</f>
        <v>0</v>
      </c>
      <c r="G15" s="208" t="s">
        <v>0</v>
      </c>
      <c r="H15" s="208"/>
      <c r="I15" s="208"/>
      <c r="J15" s="208">
        <f>J13*J14</f>
        <v>0</v>
      </c>
      <c r="K15" s="208" t="s">
        <v>0</v>
      </c>
      <c r="L15" s="208"/>
      <c r="M15" s="208"/>
      <c r="N15" s="208">
        <f>N13*N14</f>
        <v>0</v>
      </c>
      <c r="O15" s="208" t="s">
        <v>0</v>
      </c>
      <c r="P15" s="208"/>
      <c r="Q15" s="208"/>
      <c r="R15" s="208">
        <f>R13*R14</f>
        <v>0</v>
      </c>
      <c r="S15" s="207" t="s">
        <v>0</v>
      </c>
      <c r="T15" s="208"/>
      <c r="U15" s="208"/>
    </row>
    <row r="16" spans="1:21" s="195" customFormat="1" ht="12" customHeight="1" x14ac:dyDescent="0.2">
      <c r="A16" s="36" t="s">
        <v>105</v>
      </c>
      <c r="B16" s="208">
        <f>MAX(0,B15-B18-D18)</f>
        <v>0</v>
      </c>
      <c r="C16" s="208" t="s">
        <v>0</v>
      </c>
      <c r="D16" s="208"/>
      <c r="E16" s="208"/>
      <c r="F16" s="208">
        <f>MAX(0,F15-F18-H18)</f>
        <v>0</v>
      </c>
      <c r="G16" s="208" t="s">
        <v>0</v>
      </c>
      <c r="H16" s="208"/>
      <c r="I16" s="208"/>
      <c r="J16" s="208">
        <f>MAX(0,J15-J18-L18)</f>
        <v>0</v>
      </c>
      <c r="K16" s="208" t="s">
        <v>0</v>
      </c>
      <c r="L16" s="208"/>
      <c r="M16" s="208"/>
      <c r="N16" s="208">
        <f>MAX(0,N15-N18-P18)</f>
        <v>0</v>
      </c>
      <c r="O16" s="208" t="s">
        <v>0</v>
      </c>
      <c r="P16" s="210"/>
      <c r="Q16" s="210"/>
      <c r="R16" s="208">
        <f>MAX(0,R15-R18-T18)</f>
        <v>0</v>
      </c>
      <c r="S16" s="207" t="s">
        <v>0</v>
      </c>
      <c r="T16" s="208"/>
      <c r="U16" s="208"/>
    </row>
    <row r="17" spans="1:21" s="195" customFormat="1" ht="12" customHeight="1" x14ac:dyDescent="0.2">
      <c r="A17" s="75"/>
      <c r="B17" s="215" t="s">
        <v>123</v>
      </c>
      <c r="C17" s="84"/>
      <c r="D17" s="215" t="s">
        <v>124</v>
      </c>
      <c r="E17" s="84"/>
      <c r="F17" s="215" t="s">
        <v>123</v>
      </c>
      <c r="G17" s="84"/>
      <c r="H17" s="215" t="s">
        <v>124</v>
      </c>
      <c r="I17" s="84"/>
      <c r="J17" s="215" t="s">
        <v>123</v>
      </c>
      <c r="K17" s="84"/>
      <c r="L17" s="215" t="s">
        <v>124</v>
      </c>
      <c r="M17" s="84"/>
      <c r="N17" s="215" t="s">
        <v>123</v>
      </c>
      <c r="O17" s="84"/>
      <c r="P17" s="215" t="s">
        <v>124</v>
      </c>
      <c r="Q17" s="84"/>
      <c r="R17" s="215" t="s">
        <v>123</v>
      </c>
      <c r="S17" s="84"/>
      <c r="T17" s="215" t="s">
        <v>124</v>
      </c>
      <c r="U17" s="84"/>
    </row>
    <row r="18" spans="1:21" s="195" customFormat="1" ht="12" customHeight="1" x14ac:dyDescent="0.25">
      <c r="A18" s="36" t="s">
        <v>218</v>
      </c>
      <c r="B18" s="209"/>
      <c r="C18" s="208" t="s">
        <v>0</v>
      </c>
      <c r="D18" s="210"/>
      <c r="E18" s="208" t="s">
        <v>0</v>
      </c>
      <c r="F18" s="210"/>
      <c r="G18" s="208" t="s">
        <v>0</v>
      </c>
      <c r="H18" s="210"/>
      <c r="I18" s="208" t="s">
        <v>0</v>
      </c>
      <c r="J18" s="210"/>
      <c r="K18" s="208" t="s">
        <v>0</v>
      </c>
      <c r="L18" s="210"/>
      <c r="M18" s="208" t="s">
        <v>0</v>
      </c>
      <c r="N18" s="210"/>
      <c r="O18" s="208" t="s">
        <v>0</v>
      </c>
      <c r="P18" s="210"/>
      <c r="Q18" s="208" t="s">
        <v>0</v>
      </c>
      <c r="R18" s="210"/>
      <c r="S18" s="208" t="s">
        <v>0</v>
      </c>
      <c r="T18" s="210"/>
      <c r="U18" s="208" t="s">
        <v>0</v>
      </c>
    </row>
    <row r="19" spans="1:21" s="195" customFormat="1" ht="12" customHeight="1" x14ac:dyDescent="0.25">
      <c r="A19" s="36" t="s">
        <v>134</v>
      </c>
      <c r="B19" s="209"/>
      <c r="C19" s="208" t="s">
        <v>98</v>
      </c>
      <c r="D19" s="210"/>
      <c r="E19" s="208" t="s">
        <v>98</v>
      </c>
      <c r="F19" s="210"/>
      <c r="G19" s="208" t="s">
        <v>98</v>
      </c>
      <c r="H19" s="210"/>
      <c r="I19" s="208" t="s">
        <v>98</v>
      </c>
      <c r="J19" s="210"/>
      <c r="K19" s="208" t="s">
        <v>98</v>
      </c>
      <c r="L19" s="210"/>
      <c r="M19" s="208" t="s">
        <v>98</v>
      </c>
      <c r="N19" s="210"/>
      <c r="O19" s="208" t="s">
        <v>98</v>
      </c>
      <c r="P19" s="210"/>
      <c r="Q19" s="208" t="s">
        <v>98</v>
      </c>
      <c r="R19" s="210"/>
      <c r="S19" s="208" t="s">
        <v>98</v>
      </c>
      <c r="T19" s="210"/>
      <c r="U19" s="208" t="s">
        <v>98</v>
      </c>
    </row>
    <row r="20" spans="1:21" s="195" customFormat="1" ht="12" customHeight="1" x14ac:dyDescent="0.2">
      <c r="A20" s="66" t="s">
        <v>221</v>
      </c>
      <c r="B20" s="209">
        <v>1</v>
      </c>
      <c r="C20" s="208"/>
      <c r="D20" s="210">
        <v>1</v>
      </c>
      <c r="E20" s="208"/>
      <c r="F20" s="210">
        <v>1</v>
      </c>
      <c r="G20" s="208"/>
      <c r="H20" s="210">
        <v>1</v>
      </c>
      <c r="I20" s="208"/>
      <c r="J20" s="210">
        <v>1</v>
      </c>
      <c r="K20" s="208"/>
      <c r="L20" s="210">
        <v>1</v>
      </c>
      <c r="M20" s="208"/>
      <c r="N20" s="210">
        <v>1</v>
      </c>
      <c r="O20" s="207"/>
      <c r="P20" s="210">
        <v>1</v>
      </c>
      <c r="Q20" s="208"/>
      <c r="R20" s="210">
        <v>1</v>
      </c>
      <c r="S20" s="207"/>
      <c r="T20" s="210">
        <v>1</v>
      </c>
      <c r="U20" s="208"/>
    </row>
    <row r="21" spans="1:21" s="195" customFormat="1" ht="12" customHeight="1" x14ac:dyDescent="0.2">
      <c r="A21" s="67" t="s">
        <v>219</v>
      </c>
      <c r="B21" s="220" t="s">
        <v>111</v>
      </c>
      <c r="C21" s="212"/>
      <c r="D21" s="220" t="s">
        <v>111</v>
      </c>
      <c r="E21" s="212"/>
      <c r="F21" s="220" t="s">
        <v>111</v>
      </c>
      <c r="G21" s="212"/>
      <c r="H21" s="220" t="s">
        <v>111</v>
      </c>
      <c r="I21" s="212"/>
      <c r="J21" s="220" t="s">
        <v>111</v>
      </c>
      <c r="K21" s="212"/>
      <c r="L21" s="220" t="s">
        <v>111</v>
      </c>
      <c r="M21" s="212"/>
      <c r="N21" s="220" t="s">
        <v>111</v>
      </c>
      <c r="O21" s="213"/>
      <c r="P21" s="220" t="s">
        <v>111</v>
      </c>
      <c r="Q21" s="212"/>
      <c r="R21" s="220" t="s">
        <v>111</v>
      </c>
      <c r="S21" s="213"/>
      <c r="T21" s="220" t="s">
        <v>111</v>
      </c>
      <c r="U21" s="208"/>
    </row>
    <row r="22" spans="1:21" s="195" customFormat="1" ht="68.25" customHeight="1" x14ac:dyDescent="0.2">
      <c r="A22" s="85"/>
      <c r="B22" s="208"/>
      <c r="C22" s="208"/>
      <c r="D22" s="208"/>
      <c r="E22" s="208"/>
      <c r="F22" s="208"/>
      <c r="G22" s="208"/>
      <c r="H22" s="208"/>
      <c r="I22" s="208"/>
      <c r="J22" s="208"/>
      <c r="K22" s="208"/>
      <c r="L22" s="208"/>
      <c r="M22" s="208"/>
      <c r="N22" s="208"/>
      <c r="O22" s="208"/>
      <c r="P22" s="208"/>
      <c r="Q22" s="208"/>
      <c r="R22" s="208"/>
      <c r="S22" s="207"/>
      <c r="T22" s="208"/>
      <c r="U22" s="208"/>
    </row>
    <row r="23" spans="1:21" s="195" customFormat="1" x14ac:dyDescent="0.2">
      <c r="A23" s="85"/>
      <c r="B23" s="215" t="s">
        <v>166</v>
      </c>
      <c r="C23" s="208"/>
      <c r="D23" s="215" t="s">
        <v>166</v>
      </c>
      <c r="E23" s="208"/>
      <c r="F23" s="215" t="s">
        <v>166</v>
      </c>
      <c r="G23" s="208"/>
      <c r="H23" s="215" t="s">
        <v>166</v>
      </c>
      <c r="I23" s="208"/>
      <c r="J23" s="215" t="s">
        <v>166</v>
      </c>
      <c r="K23" s="208"/>
      <c r="L23" s="215" t="s">
        <v>166</v>
      </c>
      <c r="M23" s="208"/>
      <c r="N23" s="215" t="s">
        <v>166</v>
      </c>
      <c r="O23" s="208"/>
      <c r="P23" s="215" t="s">
        <v>166</v>
      </c>
      <c r="Q23" s="208"/>
      <c r="R23" s="215"/>
      <c r="S23" s="208"/>
      <c r="T23" s="215"/>
      <c r="U23" s="208"/>
    </row>
    <row r="24" spans="1:21" s="195" customFormat="1" ht="12" customHeight="1" x14ac:dyDescent="0.2">
      <c r="A24" s="86" t="s">
        <v>120</v>
      </c>
      <c r="B24" s="216">
        <v>0</v>
      </c>
      <c r="C24" s="87" t="s">
        <v>1</v>
      </c>
      <c r="D24" s="216">
        <v>0</v>
      </c>
      <c r="E24" s="87" t="s">
        <v>1</v>
      </c>
      <c r="F24" s="216">
        <v>0</v>
      </c>
      <c r="G24" s="87" t="s">
        <v>1</v>
      </c>
      <c r="H24" s="216">
        <v>0</v>
      </c>
      <c r="I24" s="87" t="s">
        <v>1</v>
      </c>
      <c r="J24" s="216">
        <v>0</v>
      </c>
      <c r="K24" s="87" t="s">
        <v>1</v>
      </c>
      <c r="L24" s="216">
        <v>0</v>
      </c>
      <c r="M24" s="87" t="s">
        <v>1</v>
      </c>
      <c r="N24" s="216">
        <v>0</v>
      </c>
      <c r="O24" s="87" t="s">
        <v>1</v>
      </c>
      <c r="P24" s="216">
        <v>0</v>
      </c>
      <c r="Q24" s="87" t="s">
        <v>1</v>
      </c>
      <c r="R24" s="216">
        <v>0</v>
      </c>
      <c r="S24" s="87"/>
      <c r="T24" s="216">
        <v>0</v>
      </c>
      <c r="U24" s="87" t="s">
        <v>1</v>
      </c>
    </row>
    <row r="25" spans="1:21" s="195" customFormat="1" ht="12" customHeight="1" x14ac:dyDescent="0.2">
      <c r="A25" s="88" t="s">
        <v>121</v>
      </c>
      <c r="B25" s="216">
        <v>0</v>
      </c>
      <c r="C25" s="87" t="s">
        <v>1</v>
      </c>
      <c r="D25" s="216">
        <v>0</v>
      </c>
      <c r="E25" s="87" t="s">
        <v>1</v>
      </c>
      <c r="F25" s="216">
        <v>0</v>
      </c>
      <c r="G25" s="87" t="s">
        <v>1</v>
      </c>
      <c r="H25" s="216">
        <v>0</v>
      </c>
      <c r="I25" s="87" t="s">
        <v>1</v>
      </c>
      <c r="J25" s="216">
        <v>0</v>
      </c>
      <c r="K25" s="87" t="s">
        <v>1</v>
      </c>
      <c r="L25" s="216">
        <v>0</v>
      </c>
      <c r="M25" s="87" t="s">
        <v>1</v>
      </c>
      <c r="N25" s="216">
        <v>0</v>
      </c>
      <c r="O25" s="87" t="s">
        <v>1</v>
      </c>
      <c r="P25" s="216">
        <v>0</v>
      </c>
      <c r="Q25" s="87" t="s">
        <v>1</v>
      </c>
      <c r="R25" s="216">
        <v>0</v>
      </c>
      <c r="S25" s="87"/>
      <c r="T25" s="216">
        <v>0</v>
      </c>
      <c r="U25" s="87" t="s">
        <v>1</v>
      </c>
    </row>
    <row r="26" spans="1:21" s="195" customFormat="1" ht="12" customHeight="1" x14ac:dyDescent="0.2">
      <c r="A26" s="89" t="s">
        <v>163</v>
      </c>
      <c r="B26" s="217">
        <f>IFERROR(180/PI()*ATAN(B24/B25),0)</f>
        <v>0</v>
      </c>
      <c r="C26" s="90" t="s">
        <v>103</v>
      </c>
      <c r="D26" s="217">
        <f>IFERROR(180/PI()*ATAN(D24/D25),0)</f>
        <v>0</v>
      </c>
      <c r="E26" s="90" t="s">
        <v>103</v>
      </c>
      <c r="F26" s="217">
        <f>IFERROR(180/PI()*ATAN(F24/F25),0)</f>
        <v>0</v>
      </c>
      <c r="G26" s="90" t="s">
        <v>103</v>
      </c>
      <c r="H26" s="217">
        <f>IFERROR(180/PI()*ATAN(H24/H25),0)</f>
        <v>0</v>
      </c>
      <c r="I26" s="90" t="s">
        <v>103</v>
      </c>
      <c r="J26" s="217">
        <f>IFERROR(180/PI()*ATAN(J24/J25),0)</f>
        <v>0</v>
      </c>
      <c r="K26" s="90" t="s">
        <v>103</v>
      </c>
      <c r="L26" s="217">
        <f>IFERROR(180/PI()*ATAN(L24/L25),0)</f>
        <v>0</v>
      </c>
      <c r="M26" s="90" t="s">
        <v>103</v>
      </c>
      <c r="N26" s="217">
        <f>IFERROR(180/PI()*ATAN(N24/N25),0)</f>
        <v>0</v>
      </c>
      <c r="O26" s="90" t="s">
        <v>103</v>
      </c>
      <c r="P26" s="217">
        <f>IFERROR(180/PI()*ATAN(P24/P25),0)</f>
        <v>0</v>
      </c>
      <c r="Q26" s="90" t="s">
        <v>103</v>
      </c>
      <c r="R26" s="217"/>
      <c r="S26" s="90"/>
      <c r="T26" s="217"/>
      <c r="U26" s="90" t="s">
        <v>103</v>
      </c>
    </row>
    <row r="27" spans="1:21" s="195" customFormat="1" ht="12" customHeight="1" x14ac:dyDescent="0.2">
      <c r="A27" s="89" t="s">
        <v>119</v>
      </c>
      <c r="B27" s="216">
        <f>IFERROR(B24/B25,1)</f>
        <v>1</v>
      </c>
      <c r="C27" s="87"/>
      <c r="D27" s="216">
        <f>IFERROR(D24/D25,1)</f>
        <v>1</v>
      </c>
      <c r="E27" s="87"/>
      <c r="F27" s="216">
        <f>IFERROR(F24/F25,1)</f>
        <v>1</v>
      </c>
      <c r="G27" s="87"/>
      <c r="H27" s="216">
        <f>IFERROR(H24/H25,1)</f>
        <v>1</v>
      </c>
      <c r="I27" s="87"/>
      <c r="J27" s="216">
        <f>IFERROR(J24/J25,1)</f>
        <v>1</v>
      </c>
      <c r="K27" s="87"/>
      <c r="L27" s="216">
        <f>IFERROR(L24/L25,1)</f>
        <v>1</v>
      </c>
      <c r="M27" s="87"/>
      <c r="N27" s="216">
        <f>IFERROR(N24/N25,1)</f>
        <v>1</v>
      </c>
      <c r="O27" s="87"/>
      <c r="P27" s="216">
        <f>IFERROR(P24/P25,1)</f>
        <v>1</v>
      </c>
      <c r="Q27" s="87"/>
      <c r="R27" s="216"/>
      <c r="S27" s="87"/>
      <c r="T27" s="216"/>
      <c r="U27" s="87"/>
    </row>
    <row r="28" spans="1:21" s="195" customFormat="1" ht="101.25" customHeight="1" x14ac:dyDescent="0.2">
      <c r="A28" s="91"/>
      <c r="B28" s="208"/>
      <c r="C28" s="208"/>
      <c r="D28" s="208"/>
      <c r="E28" s="208"/>
      <c r="F28" s="208"/>
      <c r="G28" s="208"/>
      <c r="H28" s="208"/>
      <c r="I28" s="208"/>
      <c r="J28" s="208"/>
      <c r="K28" s="208"/>
      <c r="L28" s="208"/>
      <c r="M28" s="208"/>
      <c r="N28" s="208"/>
      <c r="O28" s="208"/>
      <c r="P28" s="208"/>
      <c r="Q28" s="208"/>
      <c r="R28" s="215"/>
      <c r="S28" s="215"/>
      <c r="T28" s="215"/>
      <c r="U28" s="208"/>
    </row>
    <row r="29" spans="1:21" s="195" customFormat="1" x14ac:dyDescent="0.2">
      <c r="A29" s="91"/>
      <c r="B29" s="215" t="s">
        <v>113</v>
      </c>
      <c r="C29" s="208"/>
      <c r="D29" s="215" t="s">
        <v>113</v>
      </c>
      <c r="E29" s="208"/>
      <c r="F29" s="215" t="s">
        <v>113</v>
      </c>
      <c r="G29" s="208"/>
      <c r="H29" s="215" t="s">
        <v>113</v>
      </c>
      <c r="I29" s="208"/>
      <c r="J29" s="215" t="s">
        <v>113</v>
      </c>
      <c r="K29" s="208"/>
      <c r="L29" s="215" t="s">
        <v>113</v>
      </c>
      <c r="M29" s="208"/>
      <c r="N29" s="215" t="s">
        <v>113</v>
      </c>
      <c r="O29" s="208"/>
      <c r="P29" s="215" t="s">
        <v>113</v>
      </c>
      <c r="Q29" s="208"/>
      <c r="R29" s="215"/>
      <c r="S29" s="215"/>
      <c r="T29" s="215"/>
      <c r="U29" s="208"/>
    </row>
    <row r="30" spans="1:21" s="195" customFormat="1" ht="12" customHeight="1" x14ac:dyDescent="0.2">
      <c r="A30" s="89" t="s">
        <v>158</v>
      </c>
      <c r="B30" s="216" t="s">
        <v>252</v>
      </c>
      <c r="C30" s="87"/>
      <c r="D30" s="216" t="s">
        <v>252</v>
      </c>
      <c r="E30" s="87"/>
      <c r="F30" s="216" t="s">
        <v>252</v>
      </c>
      <c r="G30" s="87"/>
      <c r="H30" s="216" t="s">
        <v>252</v>
      </c>
      <c r="I30" s="87"/>
      <c r="J30" s="216" t="s">
        <v>252</v>
      </c>
      <c r="K30" s="87"/>
      <c r="L30" s="216" t="s">
        <v>252</v>
      </c>
      <c r="M30" s="87"/>
      <c r="N30" s="216" t="s">
        <v>252</v>
      </c>
      <c r="O30" s="87"/>
      <c r="P30" s="216" t="s">
        <v>252</v>
      </c>
      <c r="Q30" s="87"/>
      <c r="R30" s="215" t="s">
        <v>252</v>
      </c>
      <c r="S30" s="215"/>
      <c r="T30" s="215" t="s">
        <v>252</v>
      </c>
      <c r="U30" s="87"/>
    </row>
    <row r="31" spans="1:21" s="195" customFormat="1" ht="12" customHeight="1" x14ac:dyDescent="0.2">
      <c r="A31" s="89" t="s">
        <v>155</v>
      </c>
      <c r="B31" s="216">
        <v>0</v>
      </c>
      <c r="C31" s="87" t="s">
        <v>1</v>
      </c>
      <c r="D31" s="216">
        <v>0</v>
      </c>
      <c r="E31" s="87" t="s">
        <v>1</v>
      </c>
      <c r="F31" s="216">
        <v>0</v>
      </c>
      <c r="G31" s="87" t="s">
        <v>1</v>
      </c>
      <c r="H31" s="216">
        <v>0</v>
      </c>
      <c r="I31" s="87" t="s">
        <v>1</v>
      </c>
      <c r="J31" s="216">
        <v>0</v>
      </c>
      <c r="K31" s="87" t="s">
        <v>1</v>
      </c>
      <c r="L31" s="216">
        <v>0</v>
      </c>
      <c r="M31" s="87" t="s">
        <v>1</v>
      </c>
      <c r="N31" s="216">
        <v>0</v>
      </c>
      <c r="O31" s="87" t="s">
        <v>1</v>
      </c>
      <c r="P31" s="216">
        <v>0</v>
      </c>
      <c r="Q31" s="87" t="s">
        <v>1</v>
      </c>
      <c r="R31" s="215">
        <v>0</v>
      </c>
      <c r="S31" s="215"/>
      <c r="T31" s="215">
        <v>0</v>
      </c>
      <c r="U31" s="87" t="s">
        <v>1</v>
      </c>
    </row>
    <row r="32" spans="1:21" s="195" customFormat="1" ht="12" customHeight="1" x14ac:dyDescent="0.2">
      <c r="A32" s="89" t="s">
        <v>156</v>
      </c>
      <c r="B32" s="216">
        <v>0</v>
      </c>
      <c r="C32" s="90" t="s">
        <v>1</v>
      </c>
      <c r="D32" s="216">
        <v>0</v>
      </c>
      <c r="E32" s="90" t="s">
        <v>1</v>
      </c>
      <c r="F32" s="216">
        <v>0</v>
      </c>
      <c r="G32" s="90" t="s">
        <v>1</v>
      </c>
      <c r="H32" s="216">
        <v>0</v>
      </c>
      <c r="I32" s="90" t="s">
        <v>1</v>
      </c>
      <c r="J32" s="216">
        <v>0</v>
      </c>
      <c r="K32" s="90" t="s">
        <v>1</v>
      </c>
      <c r="L32" s="216">
        <v>0</v>
      </c>
      <c r="M32" s="90" t="s">
        <v>1</v>
      </c>
      <c r="N32" s="216">
        <v>0</v>
      </c>
      <c r="O32" s="90" t="s">
        <v>1</v>
      </c>
      <c r="P32" s="216">
        <v>0</v>
      </c>
      <c r="Q32" s="90" t="s">
        <v>1</v>
      </c>
      <c r="R32" s="215">
        <v>0</v>
      </c>
      <c r="S32" s="215"/>
      <c r="T32" s="215">
        <v>0</v>
      </c>
      <c r="U32" s="87" t="s">
        <v>1</v>
      </c>
    </row>
    <row r="33" spans="1:21" s="195" customFormat="1" ht="12" customHeight="1" x14ac:dyDescent="0.25">
      <c r="A33" s="89" t="s">
        <v>157</v>
      </c>
      <c r="B33" s="216">
        <f>IFERROR(B31/B32,999)</f>
        <v>999</v>
      </c>
      <c r="C33" s="87"/>
      <c r="D33" s="216">
        <f>IFERROR(D31/D32,999)</f>
        <v>999</v>
      </c>
      <c r="E33" s="87"/>
      <c r="F33" s="216">
        <f>IFERROR(F31/F32,999)</f>
        <v>999</v>
      </c>
      <c r="G33" s="87"/>
      <c r="H33" s="216">
        <f>IFERROR(H31/H32,999)</f>
        <v>999</v>
      </c>
      <c r="I33" s="87"/>
      <c r="J33" s="216">
        <f>IFERROR(J31/J32,999)</f>
        <v>999</v>
      </c>
      <c r="K33" s="87"/>
      <c r="L33" s="216">
        <f>IFERROR(L31/L32,999)</f>
        <v>999</v>
      </c>
      <c r="M33" s="87"/>
      <c r="N33" s="216">
        <f>IFERROR(N31/N32,999)</f>
        <v>999</v>
      </c>
      <c r="O33" s="87"/>
      <c r="P33" s="216">
        <f>IFERROR(P31/P32,999)</f>
        <v>999</v>
      </c>
      <c r="Q33" s="87"/>
      <c r="R33" s="215"/>
      <c r="S33" s="215"/>
      <c r="T33" s="215"/>
      <c r="U33" s="87"/>
    </row>
    <row r="34" spans="1:21" s="195" customFormat="1" x14ac:dyDescent="0.2">
      <c r="A34" s="75"/>
      <c r="B34" s="84"/>
      <c r="C34" s="84"/>
      <c r="D34" s="84"/>
      <c r="E34" s="84"/>
      <c r="F34" s="84"/>
      <c r="G34" s="84"/>
      <c r="H34" s="84"/>
      <c r="I34" s="84"/>
      <c r="J34" s="84"/>
      <c r="K34" s="84"/>
      <c r="L34" s="84"/>
      <c r="M34" s="84"/>
      <c r="N34" s="84"/>
      <c r="O34" s="84"/>
      <c r="P34" s="84"/>
      <c r="Q34" s="84"/>
      <c r="R34" s="84"/>
      <c r="S34" s="84"/>
      <c r="T34" s="84"/>
      <c r="U34" s="84"/>
    </row>
    <row r="35" spans="1:21" s="195" customFormat="1" ht="12" customHeight="1" x14ac:dyDescent="0.25">
      <c r="A35" s="36" t="s">
        <v>135</v>
      </c>
      <c r="B35" s="216" cm="1">
        <f t="array" ref="B35">IFERROR(o_Beschaduwingreductie(B21,B8,B27,B30,B33,B11),1)</f>
        <v>1</v>
      </c>
      <c r="C35" s="208"/>
      <c r="D35" s="216" cm="1">
        <f t="array" ref="D35">IFERROR(o_Beschaduwingreductie(D21,B8,D27,D30,D33,B11),1)</f>
        <v>1</v>
      </c>
      <c r="E35" s="208"/>
      <c r="F35" s="216" cm="1">
        <f t="array" ref="F35">IFERROR(o_Beschaduwingreductie(F21,F8,F27,F30,F33,F11),1)</f>
        <v>1</v>
      </c>
      <c r="G35" s="208"/>
      <c r="H35" s="216" cm="1">
        <f t="array" ref="H35">IFERROR(o_Beschaduwingreductie(H21,F8,H27,H30,H33,F11),1)</f>
        <v>1</v>
      </c>
      <c r="I35" s="208"/>
      <c r="J35" s="216" cm="1">
        <f t="array" ref="J35">IFERROR(o_Beschaduwingreductie(J21,J8,J27,J30,J33,J11),1)</f>
        <v>1</v>
      </c>
      <c r="K35" s="208"/>
      <c r="L35" s="216" cm="1">
        <f t="array" ref="L35">IFERROR(o_Beschaduwingreductie(L21,J8,L27,L30,L33,J11),1)</f>
        <v>1</v>
      </c>
      <c r="M35" s="208"/>
      <c r="N35" s="216" cm="1">
        <f t="array" ref="N35">IFERROR(o_Beschaduwingreductie(N21,N8,N27,N30,N33,N11),1)</f>
        <v>1</v>
      </c>
      <c r="O35" s="208"/>
      <c r="P35" s="216" cm="1">
        <f t="array" ref="P35">IFERROR(o_Beschaduwingreductie(P21,N8,P27,P30,P33,N11),1)</f>
        <v>1</v>
      </c>
      <c r="Q35" s="208"/>
      <c r="R35" s="159" cm="1">
        <f t="array" ref="R35">o_Beschaduwingreductie(R21,R8,R27,R30,R33,R11)</f>
        <v>1</v>
      </c>
      <c r="S35" s="207"/>
      <c r="T35" s="216" cm="1">
        <f t="array" ref="T35">o_Beschaduwingreductie(T21,R8,T27,T30,T33,R11)</f>
        <v>1</v>
      </c>
      <c r="U35" s="208"/>
    </row>
    <row r="36" spans="1:21" s="195" customFormat="1" x14ac:dyDescent="0.2">
      <c r="A36" s="75"/>
      <c r="B36" s="84"/>
      <c r="C36" s="84"/>
      <c r="D36" s="84"/>
      <c r="E36" s="84"/>
      <c r="F36" s="84"/>
      <c r="G36" s="84"/>
      <c r="H36" s="84"/>
      <c r="I36" s="84"/>
      <c r="J36" s="84"/>
      <c r="K36" s="84"/>
      <c r="L36" s="84"/>
      <c r="M36" s="84"/>
      <c r="N36" s="84"/>
      <c r="O36" s="84"/>
      <c r="P36" s="84"/>
      <c r="Q36" s="84"/>
      <c r="R36" s="84"/>
      <c r="S36" s="84"/>
      <c r="T36" s="84"/>
      <c r="U36" s="84"/>
    </row>
    <row r="37" spans="1:21" s="195" customFormat="1" ht="12" customHeight="1" x14ac:dyDescent="0.2">
      <c r="A37" s="36" t="s">
        <v>82</v>
      </c>
      <c r="B37" s="220" t="s">
        <v>84</v>
      </c>
      <c r="C37" s="218"/>
      <c r="D37" s="220" t="s">
        <v>84</v>
      </c>
      <c r="E37" s="212"/>
      <c r="F37" s="220" t="s">
        <v>84</v>
      </c>
      <c r="G37" s="218"/>
      <c r="H37" s="220" t="s">
        <v>84</v>
      </c>
      <c r="I37" s="212"/>
      <c r="J37" s="220" t="s">
        <v>84</v>
      </c>
      <c r="K37" s="218"/>
      <c r="L37" s="220" t="s">
        <v>84</v>
      </c>
      <c r="M37" s="212"/>
      <c r="N37" s="220" t="s">
        <v>84</v>
      </c>
      <c r="O37" s="218"/>
      <c r="P37" s="220" t="s">
        <v>84</v>
      </c>
      <c r="Q37" s="212"/>
      <c r="R37" s="220" t="s">
        <v>84</v>
      </c>
      <c r="S37" s="218"/>
      <c r="T37" s="220" t="s">
        <v>84</v>
      </c>
      <c r="U37" s="208"/>
    </row>
    <row r="38" spans="1:21" s="195" customFormat="1" ht="12" customHeight="1" x14ac:dyDescent="0.25">
      <c r="A38" s="36" t="s">
        <v>136</v>
      </c>
      <c r="B38" s="159" cm="1">
        <f t="array" ref="B38">o_Zonweringreductie(B37,B8)</f>
        <v>1</v>
      </c>
      <c r="C38" s="208"/>
      <c r="D38" s="159" cm="1">
        <f t="array" ref="D38">o_Zonweringreductie(D37,B8)</f>
        <v>1</v>
      </c>
      <c r="E38" s="208"/>
      <c r="F38" s="159" cm="1">
        <f t="array" ref="F38">o_Zonweringreductie(F37,F8)</f>
        <v>1</v>
      </c>
      <c r="G38" s="208"/>
      <c r="H38" s="159" cm="1">
        <f t="array" ref="H38">o_Zonweringreductie(H37,F8)</f>
        <v>1</v>
      </c>
      <c r="I38" s="208"/>
      <c r="J38" s="159" cm="1">
        <f t="array" ref="J38">o_Zonweringreductie(J37,J8)</f>
        <v>1</v>
      </c>
      <c r="K38" s="208"/>
      <c r="L38" s="159" cm="1">
        <f t="array" ref="L38">o_Zonweringreductie(L37,J8)</f>
        <v>1</v>
      </c>
      <c r="M38" s="208"/>
      <c r="N38" s="159" cm="1">
        <f t="array" ref="N38">o_Zonweringreductie(N37,N8)</f>
        <v>1</v>
      </c>
      <c r="O38" s="208"/>
      <c r="P38" s="159" cm="1">
        <f t="array" ref="P38">o_Zonweringreductie(P37,N8)</f>
        <v>1</v>
      </c>
      <c r="Q38" s="208"/>
      <c r="R38" s="159" cm="1">
        <f t="array" ref="R38">o_Zonweringreductie(R37,R8)</f>
        <v>1</v>
      </c>
      <c r="S38" s="208"/>
      <c r="T38" s="159" cm="1">
        <f t="array" ref="T38">o_Zonweringreductie(T37,R8)</f>
        <v>1</v>
      </c>
      <c r="U38" s="208"/>
    </row>
    <row r="39" spans="1:21" s="195" customFormat="1" ht="12" customHeight="1" x14ac:dyDescent="0.25">
      <c r="A39" s="36" t="s">
        <v>137</v>
      </c>
      <c r="B39" s="159" cm="1">
        <f t="array" ref="B39">IF(B10="Nee",0,o_Isol_Bij_Tijdstip($B$52,B8,B11))</f>
        <v>0</v>
      </c>
      <c r="C39" s="208" t="s">
        <v>12</v>
      </c>
      <c r="D39" s="159" cm="1">
        <f t="array" ref="D39">IF(B10="Nee",0,o_Isol_Bij_Tijdstip($B$52,B8,B11))</f>
        <v>0</v>
      </c>
      <c r="E39" s="208" t="s">
        <v>12</v>
      </c>
      <c r="F39" s="159" cm="1">
        <f t="array" ref="F39">IF(F10="Nee",0,o_Isol_Bij_Tijdstip($B$52,F8,F11))</f>
        <v>0</v>
      </c>
      <c r="G39" s="208" t="s">
        <v>12</v>
      </c>
      <c r="H39" s="159" cm="1">
        <f t="array" ref="H39">IF(F10="Nee",0,o_Isol_Bij_Tijdstip($B$52,F8,F11))</f>
        <v>0</v>
      </c>
      <c r="I39" s="208" t="s">
        <v>12</v>
      </c>
      <c r="J39" s="159" cm="1">
        <f t="array" ref="J39">IF(J10="Nee",0,o_Isol_Bij_Tijdstip($B$52,J8,J11))</f>
        <v>0</v>
      </c>
      <c r="K39" s="208" t="s">
        <v>12</v>
      </c>
      <c r="L39" s="159" cm="1">
        <f t="array" ref="L39">IF(J10="Nee",0,o_Isol_Bij_Tijdstip($B$52,J8,J11))</f>
        <v>0</v>
      </c>
      <c r="M39" s="208" t="s">
        <v>12</v>
      </c>
      <c r="N39" s="159" cm="1">
        <f t="array" ref="N39">IF(N10="Nee",0,o_Isol_Bij_Tijdstip($B$52,N8,N11))</f>
        <v>0</v>
      </c>
      <c r="O39" s="208" t="s">
        <v>12</v>
      </c>
      <c r="P39" s="159" cm="1">
        <f t="array" ref="P39">IF(N10="Nee",0,o_Isol_Bij_Tijdstip($B$52,N8,N11))</f>
        <v>0</v>
      </c>
      <c r="Q39" s="208" t="s">
        <v>12</v>
      </c>
      <c r="R39" s="159" cm="1">
        <f t="array" ref="R39">IF(R10="Nee",0,o_Isol_Bij_Tijdstip($B$52,R8,R11))</f>
        <v>0</v>
      </c>
      <c r="S39" s="208" t="s">
        <v>12</v>
      </c>
      <c r="T39" s="159" cm="1">
        <f t="array" ref="T39">IF(R10="Nee",0,o_Isol_Bij_Tijdstip($B$52,R8,R11))</f>
        <v>0</v>
      </c>
      <c r="U39" s="208" t="s">
        <v>12</v>
      </c>
    </row>
    <row r="40" spans="1:21" s="195" customFormat="1" x14ac:dyDescent="0.2">
      <c r="A40" s="75"/>
      <c r="B40" s="84"/>
      <c r="C40" s="84"/>
      <c r="D40" s="84"/>
      <c r="E40" s="84"/>
      <c r="F40" s="84"/>
      <c r="G40" s="84"/>
      <c r="H40" s="84"/>
      <c r="I40" s="84"/>
      <c r="J40" s="84"/>
      <c r="K40" s="84"/>
      <c r="L40" s="84"/>
      <c r="M40" s="84"/>
      <c r="N40" s="84"/>
      <c r="O40" s="84"/>
      <c r="P40" s="84"/>
      <c r="Q40" s="84"/>
      <c r="R40" s="84"/>
      <c r="S40" s="84"/>
      <c r="T40" s="84"/>
      <c r="U40" s="84"/>
    </row>
    <row r="41" spans="1:21" s="195" customFormat="1" ht="12" customHeight="1" x14ac:dyDescent="0.25">
      <c r="A41" s="66" t="s">
        <v>138</v>
      </c>
      <c r="B41" s="239" t="e" cm="1">
        <f t="array" ref="B41">VALUE(o_Tijdstip_Isol_Max_Orientatie(B8,B11))</f>
        <v>#VALUE!</v>
      </c>
      <c r="C41" s="239"/>
      <c r="D41" s="240"/>
      <c r="E41" s="87"/>
      <c r="F41" s="239" cm="1">
        <f t="array" ref="F41">VALUE(o_Tijdstip_Isol_Max_Orientatie(F8,F11))</f>
        <v>0.375</v>
      </c>
      <c r="G41" s="239"/>
      <c r="H41" s="240"/>
      <c r="I41" s="87"/>
      <c r="J41" s="239" cm="1">
        <f t="array" ref="J41">VALUE(o_Tijdstip_Isol_Max_Orientatie(J8,J11))</f>
        <v>0.58333333333333337</v>
      </c>
      <c r="K41" s="239"/>
      <c r="L41" s="240"/>
      <c r="M41" s="87"/>
      <c r="N41" s="239" cm="1">
        <f t="array" ref="N41">VALUE(o_Tijdstip_Isol_Max_Orientatie(N8,N11))</f>
        <v>0.625</v>
      </c>
      <c r="O41" s="239"/>
      <c r="P41" s="240"/>
      <c r="Q41" s="87"/>
      <c r="R41" s="239" cm="1">
        <f t="array" ref="R41">VALUE(o_Tijdstip_Isol_Max_Orientatie(R8,R11))</f>
        <v>0.5</v>
      </c>
      <c r="S41" s="239"/>
      <c r="T41" s="240"/>
      <c r="U41" s="84"/>
    </row>
    <row r="42" spans="1:21" s="195" customFormat="1" ht="12" customHeight="1" x14ac:dyDescent="0.25">
      <c r="A42" s="66" t="s">
        <v>139</v>
      </c>
      <c r="B42" s="241" t="e" cm="1">
        <f t="array" ref="B42">o_maxTemp(o_Tijdstip_Isol_Max_Orientatie(B8,B11))</f>
        <v>#VALUE!</v>
      </c>
      <c r="C42" s="241"/>
      <c r="D42" s="241"/>
      <c r="E42" s="207" t="s">
        <v>2</v>
      </c>
      <c r="F42" s="241" cm="1">
        <f t="array" ref="F42">o_maxTemp(o_Tijdstip_Isol_Max_Orientatie(F8,F11))</f>
        <v>24.7</v>
      </c>
      <c r="G42" s="241"/>
      <c r="H42" s="241"/>
      <c r="I42" s="207" t="s">
        <v>2</v>
      </c>
      <c r="J42" s="241" cm="1">
        <f t="array" ref="J42">o_maxTemp(o_Tijdstip_Isol_Max_Orientatie(J8,J11))</f>
        <v>29.9</v>
      </c>
      <c r="K42" s="241"/>
      <c r="L42" s="241"/>
      <c r="M42" s="207" t="s">
        <v>2</v>
      </c>
      <c r="N42" s="241" cm="1">
        <f t="array" ref="N42">o_maxTemp(o_Tijdstip_Isol_Max_Orientatie(N8,N11))</f>
        <v>29.8</v>
      </c>
      <c r="O42" s="241"/>
      <c r="P42" s="241"/>
      <c r="Q42" s="207" t="s">
        <v>2</v>
      </c>
      <c r="R42" s="241" cm="1">
        <f t="array" ref="R42">o_maxTemp(o_Tijdstip_Isol_Max_Orientatie(R8,R11))</f>
        <v>28.9</v>
      </c>
      <c r="S42" s="241"/>
      <c r="T42" s="241"/>
      <c r="U42" s="84"/>
    </row>
    <row r="43" spans="1:21" s="195" customFormat="1" ht="12" customHeight="1" x14ac:dyDescent="0.2">
      <c r="A43" s="75"/>
      <c r="B43" s="75"/>
      <c r="C43" s="75"/>
      <c r="D43" s="75"/>
      <c r="E43" s="35"/>
      <c r="F43" s="75"/>
      <c r="G43" s="75"/>
      <c r="H43" s="75"/>
      <c r="I43" s="75"/>
      <c r="J43" s="75"/>
      <c r="K43" s="75"/>
      <c r="L43" s="75"/>
      <c r="M43" s="75"/>
      <c r="N43" s="75"/>
      <c r="O43" s="75"/>
      <c r="P43" s="75"/>
      <c r="Q43" s="75"/>
      <c r="R43" s="75"/>
      <c r="S43" s="75"/>
      <c r="T43" s="84"/>
      <c r="U43" s="84"/>
    </row>
    <row r="44" spans="1:21" s="195" customFormat="1" ht="12" hidden="1" customHeight="1" x14ac:dyDescent="0.2">
      <c r="A44" s="92" t="s">
        <v>169</v>
      </c>
      <c r="B44" s="96">
        <f>IF(B10="Ja",B18+D18,0)</f>
        <v>0</v>
      </c>
      <c r="C44" s="35" t="s">
        <v>0</v>
      </c>
      <c r="D44" s="75"/>
      <c r="E44" s="35"/>
      <c r="F44" s="96">
        <f>IF(F10="Ja",F18+H18,0)</f>
        <v>0</v>
      </c>
      <c r="G44" s="35" t="s">
        <v>0</v>
      </c>
      <c r="H44" s="75"/>
      <c r="I44" s="75"/>
      <c r="J44" s="96">
        <f>IF(J10="Ja",J18+L18,0)</f>
        <v>0</v>
      </c>
      <c r="K44" s="35" t="s">
        <v>0</v>
      </c>
      <c r="L44" s="75"/>
      <c r="M44" s="75"/>
      <c r="N44" s="96">
        <f>IF(N10="Ja",N18+P18,0)</f>
        <v>0</v>
      </c>
      <c r="O44" s="35" t="s">
        <v>0</v>
      </c>
      <c r="P44" s="75"/>
      <c r="Q44" s="75"/>
      <c r="R44" s="96">
        <f>IF(R10="Ja",R18+T18,0)</f>
        <v>0</v>
      </c>
      <c r="S44" s="35" t="s">
        <v>0</v>
      </c>
      <c r="T44" s="84"/>
      <c r="U44" s="84"/>
    </row>
    <row r="45" spans="1:21" s="195" customFormat="1" ht="12" hidden="1" customHeight="1" x14ac:dyDescent="0.2">
      <c r="A45" s="92" t="s">
        <v>126</v>
      </c>
      <c r="B45" s="93" t="b">
        <f>IF(B10="Ja",IF(B8="Noord",FALSE,TRUE),FALSE)</f>
        <v>0</v>
      </c>
      <c r="C45" s="35"/>
      <c r="D45" s="35"/>
      <c r="E45" s="35"/>
      <c r="F45" s="94" t="b">
        <f>IF(F10="Ja",IF(F8="Noord",FALSE,TRUE),FALSE)</f>
        <v>0</v>
      </c>
      <c r="G45" s="75"/>
      <c r="H45" s="75"/>
      <c r="I45" s="75"/>
      <c r="J45" s="94" t="b">
        <f>IF(J10="Ja",IF(J8="Noord",FALSE,TRUE),FALSE)</f>
        <v>0</v>
      </c>
      <c r="K45" s="75"/>
      <c r="L45" s="75"/>
      <c r="M45" s="75"/>
      <c r="N45" s="94" t="b">
        <f>IF(N10="Ja",IF(N8="Noord",FALSE,TRUE),FALSE)</f>
        <v>0</v>
      </c>
      <c r="O45" s="75"/>
      <c r="P45" s="75"/>
      <c r="Q45" s="75"/>
      <c r="R45" s="94" t="b">
        <f>IF(R10="Ja",IF(R8="Noord",FALSE,TRUE),FALSE)</f>
        <v>0</v>
      </c>
      <c r="S45" s="75"/>
      <c r="T45" s="84"/>
      <c r="U45" s="84"/>
    </row>
    <row r="46" spans="1:21" s="195" customFormat="1" ht="12" hidden="1" customHeight="1" x14ac:dyDescent="0.2">
      <c r="A46" s="92" t="s">
        <v>109</v>
      </c>
      <c r="B46" s="95" t="b">
        <f>IF(AND(B45=TRUE,COUNTIF($B$45:$R$45,TRUE)=1),TRUE,FALSE)</f>
        <v>0</v>
      </c>
      <c r="C46" s="35"/>
      <c r="D46" s="75"/>
      <c r="E46" s="35"/>
      <c r="F46" s="95" t="b">
        <f>IF(AND(F45=TRUE,COUNTIF($B$45:$R$45,TRUE)=1),TRUE,FALSE)</f>
        <v>0</v>
      </c>
      <c r="G46" s="75"/>
      <c r="H46" s="75"/>
      <c r="I46" s="75"/>
      <c r="J46" s="95" t="b">
        <f>IF(AND(J45=TRUE,COUNTIF($B$45:$R$45,TRUE)=1),TRUE,FALSE)</f>
        <v>0</v>
      </c>
      <c r="K46" s="75"/>
      <c r="L46" s="75"/>
      <c r="M46" s="75"/>
      <c r="N46" s="95" t="b">
        <f>IF(AND(N45=TRUE,COUNTIF($B$45:$R$45,TRUE)=1),TRUE,FALSE)</f>
        <v>0</v>
      </c>
      <c r="O46" s="75"/>
      <c r="P46" s="75"/>
      <c r="Q46" s="75"/>
      <c r="R46" s="95" t="b">
        <f>IF(AND(R45=TRUE,COUNTIF($B$45:$R$45,TRUE)=1),TRUE,FALSE)</f>
        <v>0</v>
      </c>
      <c r="S46" s="75"/>
      <c r="T46" s="84"/>
      <c r="U46" s="84"/>
    </row>
    <row r="47" spans="1:21" s="195" customFormat="1" ht="12" hidden="1" customHeight="1" x14ac:dyDescent="0.2">
      <c r="A47" s="92" t="s">
        <v>152</v>
      </c>
      <c r="B47" s="96">
        <f>IF(B8&lt;&gt;"Noord",B44,0)</f>
        <v>0</v>
      </c>
      <c r="C47" s="35" t="s">
        <v>0</v>
      </c>
      <c r="D47" s="75"/>
      <c r="E47" s="35"/>
      <c r="F47" s="96">
        <f>IF(F8&lt;&gt;"Noord",F44,0)</f>
        <v>0</v>
      </c>
      <c r="G47" s="35" t="s">
        <v>0</v>
      </c>
      <c r="H47" s="75"/>
      <c r="I47" s="75"/>
      <c r="J47" s="96">
        <f>IF(J8&lt;&gt;"Noord",J44,0)</f>
        <v>0</v>
      </c>
      <c r="K47" s="35" t="s">
        <v>0</v>
      </c>
      <c r="L47" s="75"/>
      <c r="M47" s="75"/>
      <c r="N47" s="96">
        <f>IF(N8&lt;&gt;"Noord",N44,0)</f>
        <v>0</v>
      </c>
      <c r="O47" s="35" t="s">
        <v>0</v>
      </c>
      <c r="P47" s="75"/>
      <c r="Q47" s="75"/>
      <c r="R47" s="96">
        <f>R44</f>
        <v>0</v>
      </c>
      <c r="S47" s="35" t="s">
        <v>0</v>
      </c>
      <c r="T47" s="84"/>
      <c r="U47" s="84"/>
    </row>
    <row r="48" spans="1:21" s="195" customFormat="1" ht="12" hidden="1" customHeight="1" x14ac:dyDescent="0.2">
      <c r="A48" s="92" t="s">
        <v>153</v>
      </c>
      <c r="B48" s="97" t="b">
        <f>IF(AND(B45,B47=MAX($B$47:$R$47)),TRUE,FALSE)</f>
        <v>0</v>
      </c>
      <c r="C48" s="35"/>
      <c r="D48" s="75"/>
      <c r="E48" s="35"/>
      <c r="F48" s="97" t="b">
        <f>IF(AND(F45,F47=MAX($B$47:$R$47)),TRUE,FALSE)</f>
        <v>0</v>
      </c>
      <c r="G48" s="75"/>
      <c r="H48" s="75"/>
      <c r="I48" s="75"/>
      <c r="J48" s="97" t="b">
        <f>IF(AND(J45,J47=MAX($B$47:$R$47)),TRUE,FALSE)</f>
        <v>0</v>
      </c>
      <c r="K48" s="75"/>
      <c r="L48" s="75"/>
      <c r="M48" s="75"/>
      <c r="N48" s="97" t="b">
        <f>IF(AND(N45,N47=MAX($B$47:$R$47)),TRUE,FALSE)</f>
        <v>0</v>
      </c>
      <c r="O48" s="75"/>
      <c r="P48" s="75"/>
      <c r="Q48" s="75"/>
      <c r="R48" s="97" t="b">
        <f>IF(AND(R45,R47=MAX($B$47:$R$47)),TRUE,FALSE)</f>
        <v>0</v>
      </c>
      <c r="S48" s="75"/>
      <c r="T48" s="84"/>
      <c r="U48" s="84"/>
    </row>
    <row r="49" spans="1:21" s="195" customFormat="1" ht="12" hidden="1" customHeight="1" x14ac:dyDescent="0.2">
      <c r="A49" s="92" t="s">
        <v>125</v>
      </c>
      <c r="B49" s="98" t="e">
        <f>IF(AND(B11&lt;90,B15&gt;3*(B18+D18),'Projectgegevens en Resultaten'!#REF!&lt;65),TRUE,FALSE)</f>
        <v>#REF!</v>
      </c>
      <c r="C49" s="35"/>
      <c r="D49" s="35"/>
      <c r="E49" s="35"/>
      <c r="F49" s="98" t="e">
        <f>IF(AND(F11&lt;90,F15&gt;3*(F18+H18),'Projectgegevens en Resultaten'!#REF!&lt;65),TRUE,FALSE)</f>
        <v>#REF!</v>
      </c>
      <c r="G49" s="75"/>
      <c r="H49" s="75"/>
      <c r="I49" s="75"/>
      <c r="J49" s="98" t="e">
        <f>IF(AND(J11&lt;90,J15&gt;3*(J18+L18),'Projectgegevens en Resultaten'!#REF!&lt;65),TRUE,FALSE)</f>
        <v>#REF!</v>
      </c>
      <c r="K49" s="75"/>
      <c r="L49" s="75"/>
      <c r="M49" s="75"/>
      <c r="N49" s="98" t="e">
        <f>IF(AND(N11&lt;90,N15&gt;3*(N18+P18),'Projectgegevens en Resultaten'!#REF!&lt;65),TRUE,FALSE)</f>
        <v>#REF!</v>
      </c>
      <c r="O49" s="75"/>
      <c r="P49" s="75"/>
      <c r="Q49" s="75"/>
      <c r="R49" s="98" t="e">
        <f>IF(AND(R11&lt;90,R15&gt;3*(R18+T18),'Projectgegevens en Resultaten'!#REF!&lt;65),TRUE,FALSE)</f>
        <v>#REF!</v>
      </c>
      <c r="S49" s="75"/>
      <c r="T49" s="84"/>
      <c r="U49" s="84"/>
    </row>
    <row r="50" spans="1:21" s="195" customFormat="1" ht="12" hidden="1" customHeight="1" x14ac:dyDescent="0.2">
      <c r="A50" s="92" t="s">
        <v>154</v>
      </c>
      <c r="B50" s="98" t="b">
        <f>IF(COUNTIF($B$49:$R$49,TRUE)&gt;0,TRUE,FALSE)</f>
        <v>0</v>
      </c>
      <c r="C50" s="35"/>
      <c r="D50" s="35"/>
      <c r="E50" s="35"/>
      <c r="F50" s="98" t="b">
        <f>IF(COUNTIF($B$49:$R$49,TRUE)&gt;0,TRUE,FALSE)</f>
        <v>0</v>
      </c>
      <c r="G50" s="75"/>
      <c r="H50" s="75"/>
      <c r="I50" s="75"/>
      <c r="J50" s="98" t="b">
        <f>IF(COUNTIF($B$49:$R$49,TRUE)&gt;0,TRUE,FALSE)</f>
        <v>0</v>
      </c>
      <c r="K50" s="75"/>
      <c r="L50" s="75"/>
      <c r="M50" s="75"/>
      <c r="N50" s="98" t="b">
        <f>IF(COUNTIF($B$49:$R$49,TRUE)&gt;0,TRUE,FALSE)</f>
        <v>0</v>
      </c>
      <c r="O50" s="75"/>
      <c r="P50" s="75"/>
      <c r="Q50" s="75"/>
      <c r="R50" s="98" t="b">
        <f>IF(COUNTIF($B$49:$R$49,TRUE)&gt;0,TRUE,FALSE)</f>
        <v>0</v>
      </c>
      <c r="S50" s="75"/>
      <c r="T50" s="84"/>
      <c r="U50" s="84"/>
    </row>
    <row r="51" spans="1:21" s="195" customFormat="1" ht="12" hidden="1" customHeight="1" x14ac:dyDescent="0.2">
      <c r="A51" s="92" t="s">
        <v>151</v>
      </c>
      <c r="B51" s="99" t="e">
        <f>IF(OR(B46,AND(B45,B50,B49),AND(B45,B48,NOT(B50))),B41)</f>
        <v>#REF!</v>
      </c>
      <c r="C51" s="35"/>
      <c r="D51" s="35"/>
      <c r="E51" s="35"/>
      <c r="F51" s="99" t="e">
        <f>IF(OR(F46,AND(F45,F50,F49),AND(F45,F48,NOT(F50))),F41)</f>
        <v>#REF!</v>
      </c>
      <c r="G51" s="75"/>
      <c r="H51" s="35"/>
      <c r="I51" s="75"/>
      <c r="J51" s="99" t="e">
        <f>IF(OR(J46,AND(J45,J50,J49),AND(J45,J48,NOT(J50))),J41)</f>
        <v>#REF!</v>
      </c>
      <c r="K51" s="75"/>
      <c r="L51" s="35"/>
      <c r="M51" s="75"/>
      <c r="N51" s="99" t="e">
        <f>IF(OR(N46,AND(N45,N50,N49),AND(N45,N48,NOT(N50))),N41)</f>
        <v>#REF!</v>
      </c>
      <c r="O51" s="75"/>
      <c r="P51" s="75"/>
      <c r="Q51" s="75"/>
      <c r="R51" s="99" t="e">
        <f>IF(OR(R46,AND(R45,R50,R49),AND(R45,R48,NOT(R50))),R41)</f>
        <v>#REF!</v>
      </c>
      <c r="S51" s="75"/>
      <c r="T51" s="84"/>
      <c r="U51" s="84"/>
    </row>
    <row r="52" spans="1:21" s="195" customFormat="1" ht="12" customHeight="1" x14ac:dyDescent="0.25">
      <c r="A52" s="39" t="s">
        <v>140</v>
      </c>
      <c r="B52" s="100" t="str">
        <f>IFERROR(B88,"geen glas ingevoerd")</f>
        <v>Geen glas aanwezig</v>
      </c>
      <c r="C52" s="35"/>
      <c r="D52" s="35"/>
      <c r="E52" s="35"/>
      <c r="F52" s="75"/>
      <c r="G52" s="75"/>
      <c r="H52" s="75"/>
      <c r="I52" s="75"/>
      <c r="J52" s="75"/>
      <c r="K52" s="75"/>
      <c r="L52" s="75"/>
      <c r="M52" s="75"/>
      <c r="N52" s="75"/>
      <c r="O52" s="75"/>
      <c r="P52" s="75"/>
      <c r="Q52" s="75"/>
      <c r="R52" s="75"/>
      <c r="S52" s="75"/>
      <c r="T52" s="84"/>
      <c r="U52" s="84"/>
    </row>
    <row r="53" spans="1:21" s="195" customFormat="1" ht="12" customHeight="1" x14ac:dyDescent="0.25">
      <c r="A53" s="66" t="s">
        <v>139</v>
      </c>
      <c r="B53" s="98" t="str">
        <f>IF(MAX(T77:T86)=0,"",_xlfn.XLOOKUP(MAX(T77:T86),T77:T86,$D$77:$D$86,"nvt"))</f>
        <v/>
      </c>
      <c r="C53" s="71" t="s">
        <v>2</v>
      </c>
      <c r="D53" s="35"/>
      <c r="E53" s="35"/>
      <c r="F53" s="75"/>
      <c r="G53" s="75"/>
      <c r="H53" s="75"/>
      <c r="I53" s="75"/>
      <c r="J53" s="75"/>
      <c r="K53" s="75"/>
      <c r="L53" s="75"/>
      <c r="M53" s="75"/>
      <c r="N53" s="75"/>
      <c r="O53" s="75"/>
      <c r="P53" s="75"/>
      <c r="Q53" s="75"/>
      <c r="R53" s="75"/>
      <c r="S53" s="75"/>
      <c r="T53" s="84"/>
      <c r="U53" s="84"/>
    </row>
    <row r="54" spans="1:21" s="195" customFormat="1" ht="12" customHeight="1" x14ac:dyDescent="0.2">
      <c r="A54" s="75"/>
      <c r="B54" s="75"/>
      <c r="C54" s="75"/>
      <c r="D54" s="75"/>
      <c r="E54" s="75"/>
      <c r="F54" s="75"/>
      <c r="G54" s="75"/>
      <c r="H54" s="75"/>
      <c r="I54" s="75"/>
      <c r="J54" s="75"/>
      <c r="K54" s="75"/>
      <c r="L54" s="75"/>
      <c r="M54" s="75"/>
      <c r="N54" s="75"/>
      <c r="O54" s="75"/>
      <c r="P54" s="75"/>
      <c r="Q54" s="75"/>
      <c r="R54" s="75"/>
      <c r="S54" s="75"/>
      <c r="T54" s="84"/>
      <c r="U54" s="84"/>
    </row>
    <row r="55" spans="1:21" s="195" customFormat="1" ht="12" customHeight="1" x14ac:dyDescent="0.25">
      <c r="A55" s="36" t="s">
        <v>260</v>
      </c>
      <c r="B55" s="248">
        <f>IF(B10="Nee",0,B16*'Projectgegevens en Resultaten'!$B$16)</f>
        <v>0</v>
      </c>
      <c r="C55" s="248"/>
      <c r="D55" s="249"/>
      <c r="E55" s="40" t="s">
        <v>11</v>
      </c>
      <c r="F55" s="248">
        <f>IF(F10="Nee",0,F16*'Projectgegevens en Resultaten'!$B$16)</f>
        <v>0</v>
      </c>
      <c r="G55" s="248"/>
      <c r="H55" s="249"/>
      <c r="I55" s="40" t="s">
        <v>11</v>
      </c>
      <c r="J55" s="248">
        <f>IF(J10="Nee",0,J16*'Projectgegevens en Resultaten'!$B$16)</f>
        <v>0</v>
      </c>
      <c r="K55" s="248"/>
      <c r="L55" s="249"/>
      <c r="M55" s="40" t="s">
        <v>11</v>
      </c>
      <c r="N55" s="248">
        <f>IF(N10="Nee",0,N16*'Projectgegevens en Resultaten'!$B$16)</f>
        <v>0</v>
      </c>
      <c r="O55" s="248"/>
      <c r="P55" s="249"/>
      <c r="Q55" s="40" t="s">
        <v>11</v>
      </c>
      <c r="R55" s="248">
        <f>IF(R10="Nee",0,R16*'Projectgegevens en Resultaten'!$B$16)</f>
        <v>0</v>
      </c>
      <c r="S55" s="248"/>
      <c r="T55" s="249"/>
      <c r="U55" s="40" t="s">
        <v>11</v>
      </c>
    </row>
    <row r="56" spans="1:21" s="195" customFormat="1" ht="12" customHeight="1" x14ac:dyDescent="0.25">
      <c r="A56" s="72" t="s">
        <v>142</v>
      </c>
      <c r="B56" s="242">
        <f>(0.75*B18*FLOOR(B20,0.05)*0.9*B35*B38*B39)+(0.75*D18*FLOOR(D20,0.05)*0.9*D35*D38*D39)</f>
        <v>0</v>
      </c>
      <c r="C56" s="242"/>
      <c r="D56" s="243"/>
      <c r="E56" s="40" t="s">
        <v>11</v>
      </c>
      <c r="F56" s="242">
        <f>(0.75*F18*FLOOR(F20,0.05)*0.9*F35*F38*F39)+(0.75*H18*FLOOR(H20,0.05)*0.9*H35*H38*H39)</f>
        <v>0</v>
      </c>
      <c r="G56" s="242"/>
      <c r="H56" s="243"/>
      <c r="I56" s="40" t="s">
        <v>11</v>
      </c>
      <c r="J56" s="242">
        <f>(0.75*J18*FLOOR(J20,0.05)*0.9*J35*J38*J39)+(0.75*L18*FLOOR(L20,0.05)*0.9*L35*L38*L39)</f>
        <v>0</v>
      </c>
      <c r="K56" s="242"/>
      <c r="L56" s="243"/>
      <c r="M56" s="40" t="s">
        <v>11</v>
      </c>
      <c r="N56" s="242">
        <f>(0.75*N18*FLOOR(N20,0.05)*0.9*N35*N38*N39)+(0.75*P18*FLOOR(P20,0.05)*0.9*P35*P38*P39)</f>
        <v>0</v>
      </c>
      <c r="O56" s="242"/>
      <c r="P56" s="243"/>
      <c r="Q56" s="40" t="s">
        <v>11</v>
      </c>
      <c r="R56" s="242">
        <f>(0.75*R18*FLOOR(R20,0.05)*0.9*R35*R38*R39)+(0.75*T18*FLOOR(T20,0.05)*0.9*T35*T38*T39)</f>
        <v>0</v>
      </c>
      <c r="S56" s="242"/>
      <c r="T56" s="243"/>
      <c r="U56" s="40" t="s">
        <v>11</v>
      </c>
    </row>
    <row r="57" spans="1:21" s="195" customFormat="1" ht="12" customHeight="1" x14ac:dyDescent="0.25">
      <c r="A57" s="72" t="s">
        <v>143</v>
      </c>
      <c r="B57" s="248">
        <f>IF(B10="Nee",0,IFERROR(B18*B19*($B$53-24),0)+IFERROR(D18*D19*($B$53-24),0))</f>
        <v>0</v>
      </c>
      <c r="C57" s="248"/>
      <c r="D57" s="249"/>
      <c r="E57" s="40" t="s">
        <v>11</v>
      </c>
      <c r="F57" s="248">
        <f>IF(F10="Nee",0,IFERROR(F18*F19*($B$53-24),0)+IFERROR(H18*H19*($B$53-24),0))</f>
        <v>0</v>
      </c>
      <c r="G57" s="248"/>
      <c r="H57" s="249"/>
      <c r="I57" s="40" t="s">
        <v>11</v>
      </c>
      <c r="J57" s="248">
        <f>IF(J10="Nee",0,IFERROR(J18*J19*($B$53-24),0)+IFERROR(L18*L19*($B$53-24),0))</f>
        <v>0</v>
      </c>
      <c r="K57" s="248"/>
      <c r="L57" s="249"/>
      <c r="M57" s="40" t="s">
        <v>11</v>
      </c>
      <c r="N57" s="248">
        <f>IF(N10="Nee",0,IFERROR(N18*N19*($B$53-24),0)+IFERROR(P18*P19*($B$53-24),0))</f>
        <v>0</v>
      </c>
      <c r="O57" s="248"/>
      <c r="P57" s="249"/>
      <c r="Q57" s="40" t="s">
        <v>11</v>
      </c>
      <c r="R57" s="248">
        <f>IF(R10="Nee",0,IFERROR(R18*R19*($B$53-24),0)+IFERROR(T18*T19*($B$53-24),0))</f>
        <v>0</v>
      </c>
      <c r="S57" s="248"/>
      <c r="T57" s="249"/>
      <c r="U57" s="40" t="s">
        <v>11</v>
      </c>
    </row>
    <row r="58" spans="1:21" s="195" customFormat="1" ht="12" customHeight="1" x14ac:dyDescent="0.2">
      <c r="A58" s="66" t="s">
        <v>100</v>
      </c>
      <c r="B58" s="246">
        <f>SUM(B55:D57)</f>
        <v>0</v>
      </c>
      <c r="C58" s="246"/>
      <c r="D58" s="247"/>
      <c r="E58" s="40" t="s">
        <v>11</v>
      </c>
      <c r="F58" s="246">
        <f>SUM(F55:H57)</f>
        <v>0</v>
      </c>
      <c r="G58" s="246"/>
      <c r="H58" s="247"/>
      <c r="I58" s="41" t="s">
        <v>11</v>
      </c>
      <c r="J58" s="246">
        <f>SUM(J55:L57)</f>
        <v>0</v>
      </c>
      <c r="K58" s="246"/>
      <c r="L58" s="247"/>
      <c r="M58" s="41" t="s">
        <v>11</v>
      </c>
      <c r="N58" s="246">
        <f>SUM(N55:P57)</f>
        <v>0</v>
      </c>
      <c r="O58" s="246"/>
      <c r="P58" s="247"/>
      <c r="Q58" s="41" t="s">
        <v>11</v>
      </c>
      <c r="R58" s="250">
        <f>SUM(R55:R57)</f>
        <v>0</v>
      </c>
      <c r="S58" s="250"/>
      <c r="T58" s="250"/>
      <c r="U58" s="41" t="s">
        <v>11</v>
      </c>
    </row>
    <row r="59" spans="1:21" s="195" customFormat="1" ht="12" customHeight="1" x14ac:dyDescent="0.2">
      <c r="A59" s="75"/>
      <c r="B59" s="76"/>
      <c r="C59" s="76"/>
      <c r="D59" s="76"/>
      <c r="E59" s="75"/>
      <c r="F59" s="75"/>
      <c r="G59" s="75"/>
      <c r="H59" s="75"/>
      <c r="I59" s="75"/>
      <c r="J59" s="75"/>
      <c r="K59" s="75"/>
      <c r="L59" s="75"/>
      <c r="M59" s="75"/>
      <c r="N59" s="75"/>
      <c r="O59" s="75"/>
      <c r="P59" s="75"/>
      <c r="Q59" s="75"/>
      <c r="R59" s="75"/>
      <c r="S59" s="75"/>
      <c r="T59" s="75"/>
      <c r="U59" s="84"/>
    </row>
    <row r="60" spans="1:21" s="195" customFormat="1" ht="12" customHeight="1" x14ac:dyDescent="0.25">
      <c r="A60" s="36" t="s">
        <v>144</v>
      </c>
      <c r="B60" s="242">
        <f>IF(B5=0,0,IF(B4="Woonvertrek",2*'Projectgegevens en Resultaten'!$B$33*B5,'Projectgegevens en Resultaten'!$B$33*B5))</f>
        <v>0</v>
      </c>
      <c r="C60" s="242"/>
      <c r="D60" s="243"/>
      <c r="E60" s="40" t="s">
        <v>11</v>
      </c>
      <c r="F60" s="75"/>
      <c r="G60" s="75"/>
      <c r="H60" s="75"/>
      <c r="I60" s="75"/>
      <c r="J60" s="75"/>
      <c r="K60" s="75"/>
      <c r="L60" s="75"/>
      <c r="M60" s="75"/>
      <c r="N60" s="75"/>
      <c r="O60" s="75"/>
      <c r="P60" s="75"/>
      <c r="Q60" s="75"/>
      <c r="R60" s="65"/>
      <c r="S60" s="35"/>
      <c r="T60" s="75"/>
      <c r="U60" s="84"/>
    </row>
    <row r="61" spans="1:21" s="195" customFormat="1" ht="12" customHeight="1" x14ac:dyDescent="0.25">
      <c r="A61" s="36" t="s">
        <v>145</v>
      </c>
      <c r="B61" s="244">
        <f>IFERROR(MAX((SUM('Projectgegevens en Resultaten'!$B$21:$B$23)/3600*1.205*1005*(B53-24))/SUM('Projectgegevens en Resultaten'!$B$40:$T$40)*B5,0),0)</f>
        <v>0</v>
      </c>
      <c r="C61" s="244">
        <f>IFERROR(MAX(SUM(C57:C59)/3600*1.205*1005*(C60-24),0),0)</f>
        <v>0</v>
      </c>
      <c r="D61" s="245">
        <f>IFERROR(MAX(SUM(D57:D59)/3600*1.205*1005*(D60-24),0),0)</f>
        <v>0</v>
      </c>
      <c r="E61" s="40" t="s">
        <v>11</v>
      </c>
      <c r="F61" s="75"/>
      <c r="G61" s="75"/>
      <c r="H61" s="75"/>
      <c r="I61" s="75"/>
      <c r="J61" s="75"/>
      <c r="K61" s="75"/>
      <c r="L61" s="75"/>
      <c r="M61" s="75"/>
      <c r="N61" s="75"/>
      <c r="O61" s="75"/>
      <c r="P61" s="75"/>
      <c r="Q61" s="75"/>
      <c r="R61" s="65"/>
      <c r="S61" s="35"/>
      <c r="T61" s="75"/>
      <c r="U61" s="84"/>
    </row>
    <row r="62" spans="1:21" s="195" customFormat="1" ht="12" customHeight="1" x14ac:dyDescent="0.2">
      <c r="A62" s="75"/>
      <c r="B62" s="76"/>
      <c r="C62" s="76"/>
      <c r="D62" s="76"/>
      <c r="E62" s="75"/>
      <c r="F62" s="75"/>
      <c r="G62" s="75"/>
      <c r="H62" s="75"/>
      <c r="I62" s="75"/>
      <c r="J62" s="75"/>
      <c r="K62" s="75"/>
      <c r="L62" s="75"/>
      <c r="M62" s="75"/>
      <c r="N62" s="75"/>
      <c r="O62" s="75"/>
      <c r="P62" s="75"/>
      <c r="Q62" s="75"/>
      <c r="R62" s="75"/>
      <c r="S62" s="75"/>
      <c r="T62" s="75"/>
      <c r="U62" s="84"/>
    </row>
    <row r="63" spans="1:21" s="195" customFormat="1" ht="12" customHeight="1" x14ac:dyDescent="0.2">
      <c r="A63" s="72" t="s">
        <v>167</v>
      </c>
      <c r="B63" s="242">
        <f>IFERROR(SUM(B58:T58)+B60+B61,0)</f>
        <v>0</v>
      </c>
      <c r="C63" s="242"/>
      <c r="D63" s="243"/>
      <c r="E63" s="40" t="s">
        <v>11</v>
      </c>
      <c r="F63" s="35"/>
      <c r="G63" s="35"/>
      <c r="H63" s="35"/>
      <c r="I63" s="35"/>
      <c r="J63" s="35"/>
      <c r="K63" s="35"/>
      <c r="L63" s="35"/>
      <c r="M63" s="35"/>
      <c r="N63" s="35"/>
      <c r="O63" s="35"/>
      <c r="P63" s="35"/>
      <c r="Q63" s="35"/>
      <c r="R63" s="35"/>
      <c r="S63" s="35"/>
      <c r="T63" s="75"/>
      <c r="U63" s="84"/>
    </row>
    <row r="64" spans="1:21" s="195" customFormat="1" ht="12" customHeight="1" x14ac:dyDescent="0.2">
      <c r="A64" s="72" t="s">
        <v>99</v>
      </c>
      <c r="B64" s="246">
        <f>IFERROR(B63/B5,0)</f>
        <v>0</v>
      </c>
      <c r="C64" s="246"/>
      <c r="D64" s="247"/>
      <c r="E64" s="40" t="s">
        <v>12</v>
      </c>
      <c r="F64" s="35"/>
      <c r="G64" s="35"/>
      <c r="H64" s="35"/>
      <c r="I64" s="35"/>
      <c r="J64" s="35"/>
      <c r="K64" s="35"/>
      <c r="L64" s="35"/>
      <c r="M64" s="35"/>
      <c r="N64" s="35"/>
      <c r="O64" s="35"/>
      <c r="P64" s="35"/>
      <c r="Q64" s="35"/>
      <c r="R64" s="35"/>
      <c r="S64" s="35"/>
      <c r="T64" s="75"/>
      <c r="U64" s="84"/>
    </row>
    <row r="65" spans="1:21" s="195" customFormat="1" ht="12" customHeight="1" x14ac:dyDescent="0.2">
      <c r="A65" s="75"/>
      <c r="B65" s="75"/>
      <c r="C65" s="75"/>
      <c r="D65" s="75"/>
      <c r="E65" s="75"/>
      <c r="F65" s="75"/>
      <c r="G65" s="75"/>
      <c r="H65" s="75"/>
      <c r="I65" s="75"/>
      <c r="J65" s="75"/>
      <c r="K65" s="75"/>
      <c r="L65" s="75"/>
      <c r="M65" s="75"/>
      <c r="N65" s="75"/>
      <c r="O65" s="75"/>
      <c r="P65" s="75"/>
      <c r="Q65" s="75"/>
      <c r="R65" s="75"/>
      <c r="S65" s="75"/>
      <c r="T65" s="75"/>
      <c r="U65" s="84"/>
    </row>
    <row r="70" spans="1:21" hidden="1" x14ac:dyDescent="0.2"/>
    <row r="71" spans="1:21" ht="15" hidden="1" customHeight="1" x14ac:dyDescent="0.2">
      <c r="A71" s="236" t="s">
        <v>251</v>
      </c>
      <c r="B71" s="236"/>
      <c r="C71" s="236"/>
      <c r="D71" s="236"/>
      <c r="E71" s="236"/>
      <c r="F71" s="236"/>
      <c r="G71" s="236"/>
      <c r="H71" s="236"/>
      <c r="I71" s="236"/>
      <c r="J71" s="236"/>
      <c r="K71" s="236"/>
      <c r="L71" s="236"/>
      <c r="M71" s="236"/>
      <c r="N71" s="236"/>
      <c r="O71" s="236"/>
      <c r="P71" s="236"/>
      <c r="Q71" s="236"/>
      <c r="R71" s="236"/>
      <c r="S71" s="236"/>
      <c r="T71" s="236"/>
      <c r="U71" s="236"/>
    </row>
    <row r="72" spans="1:21" ht="15" hidden="1" customHeight="1" x14ac:dyDescent="0.2">
      <c r="A72" s="236"/>
      <c r="B72" s="236"/>
      <c r="C72" s="236"/>
      <c r="D72" s="236"/>
      <c r="E72" s="236"/>
      <c r="F72" s="236"/>
      <c r="G72" s="236"/>
      <c r="H72" s="236"/>
      <c r="I72" s="236"/>
      <c r="J72" s="236"/>
      <c r="K72" s="236"/>
      <c r="L72" s="236"/>
      <c r="M72" s="236"/>
      <c r="N72" s="236"/>
      <c r="O72" s="236"/>
      <c r="P72" s="236"/>
      <c r="Q72" s="236"/>
      <c r="R72" s="236"/>
      <c r="S72" s="236"/>
      <c r="T72" s="236"/>
      <c r="U72" s="236"/>
    </row>
    <row r="73" spans="1:21" hidden="1" x14ac:dyDescent="0.2">
      <c r="A73" s="196" t="s">
        <v>249</v>
      </c>
      <c r="B73" s="197" cm="1">
        <f t="array" ref="B73">IF(B$10="Nee",0,o_Isol_Max_Orientatie(B8,B11))</f>
        <v>0</v>
      </c>
      <c r="C73" s="198" t="s">
        <v>12</v>
      </c>
      <c r="D73" s="198"/>
      <c r="E73" s="198"/>
      <c r="F73" s="197" cm="1">
        <f t="array" ref="F73">IF(F$10="Nee",0,o_Isol_Max_Orientatie(F8,F11))</f>
        <v>0</v>
      </c>
      <c r="G73" s="198" t="s">
        <v>12</v>
      </c>
      <c r="H73" s="198"/>
      <c r="I73" s="198"/>
      <c r="J73" s="197" cm="1">
        <f t="array" ref="J73">IF(J$10="Nee",0,o_Isol_Max_Orientatie(J8,J11))</f>
        <v>0</v>
      </c>
      <c r="K73" s="198" t="s">
        <v>12</v>
      </c>
      <c r="L73" s="198"/>
      <c r="M73" s="198"/>
      <c r="N73" s="197" cm="1">
        <f t="array" ref="N73">IF(N$10="Nee",0,o_Isol_Max_Orientatie(N8,N11))</f>
        <v>0</v>
      </c>
      <c r="O73" s="198" t="s">
        <v>12</v>
      </c>
      <c r="P73" s="198"/>
      <c r="Q73" s="198"/>
      <c r="R73" s="197" cm="1">
        <f t="array" ref="R73">IF(R$10="Nee",0,o_Isol_Max_Orientatie(R8,R11))</f>
        <v>0</v>
      </c>
      <c r="S73" s="198" t="s">
        <v>12</v>
      </c>
      <c r="T73" s="198"/>
      <c r="U73" s="198"/>
    </row>
    <row r="74" spans="1:21" hidden="1" x14ac:dyDescent="0.2">
      <c r="A74" s="196" t="s">
        <v>250</v>
      </c>
      <c r="B74" s="199" t="e" cm="1">
        <f t="array" ref="B74">VALUE(o_Tijdstip_Isol_Max_Orientatie(B8,B11))</f>
        <v>#VALUE!</v>
      </c>
      <c r="C74" s="198"/>
      <c r="D74" s="198"/>
      <c r="E74" s="198"/>
      <c r="F74" s="200" cm="1">
        <f t="array" ref="F74">VALUE(o_Tijdstip_Isol_Max_Orientatie(F8,F11))</f>
        <v>0.375</v>
      </c>
      <c r="G74" s="198"/>
      <c r="H74" s="198"/>
      <c r="I74" s="198"/>
      <c r="J74" s="200" cm="1">
        <f t="array" ref="J74">VALUE(o_Tijdstip_Isol_Max_Orientatie(J8,J11))</f>
        <v>0.58333333333333337</v>
      </c>
      <c r="K74" s="198"/>
      <c r="L74" s="198"/>
      <c r="M74" s="198"/>
      <c r="N74" s="200" cm="1">
        <f t="array" ref="N74">VALUE(o_Tijdstip_Isol_Max_Orientatie(N8,N11))</f>
        <v>0.625</v>
      </c>
      <c r="O74" s="198"/>
      <c r="P74" s="198"/>
      <c r="Q74" s="198"/>
      <c r="R74" s="200" cm="1">
        <f t="array" ref="R74">VALUE(o_Tijdstip_Isol_Max_Orientatie(R8,R11))</f>
        <v>0.5</v>
      </c>
      <c r="S74" s="198"/>
      <c r="T74" s="198"/>
      <c r="U74" s="198"/>
    </row>
    <row r="75" spans="1:21" hidden="1" x14ac:dyDescent="0.2">
      <c r="A75" s="196"/>
      <c r="B75" s="196"/>
      <c r="C75" s="196"/>
      <c r="D75" s="196"/>
      <c r="E75" s="196"/>
      <c r="F75" s="196"/>
      <c r="G75" s="196"/>
      <c r="H75" s="196"/>
      <c r="I75" s="196"/>
      <c r="J75" s="196"/>
      <c r="K75" s="196"/>
      <c r="L75" s="196"/>
      <c r="M75" s="196"/>
      <c r="N75" s="196"/>
      <c r="O75" s="196"/>
      <c r="P75" s="196"/>
      <c r="Q75" s="196"/>
      <c r="R75" s="196"/>
      <c r="S75" s="196"/>
      <c r="T75" s="196"/>
      <c r="U75" s="196"/>
    </row>
    <row r="76" spans="1:21" ht="13.5" hidden="1" x14ac:dyDescent="0.25">
      <c r="A76" s="196" t="s">
        <v>142</v>
      </c>
      <c r="B76" s="196"/>
      <c r="C76" s="196"/>
      <c r="D76" s="196" t="s">
        <v>284</v>
      </c>
      <c r="E76" s="196"/>
      <c r="F76" s="196"/>
      <c r="G76" s="196"/>
      <c r="H76" s="196"/>
      <c r="I76" s="196"/>
      <c r="J76" s="196"/>
      <c r="K76" s="196"/>
      <c r="L76" s="196"/>
      <c r="M76" s="196"/>
      <c r="N76" s="196"/>
      <c r="O76" s="196"/>
      <c r="P76" s="196"/>
      <c r="Q76" s="196"/>
      <c r="R76" s="196"/>
      <c r="S76" s="196"/>
      <c r="T76" s="196"/>
      <c r="U76" s="196"/>
    </row>
    <row r="77" spans="1:21" hidden="1" x14ac:dyDescent="0.2">
      <c r="A77" s="201">
        <v>0.375</v>
      </c>
      <c r="B77" s="197" cm="1">
        <f t="array" ref="B77">IFERROR((0.75*B$18*FLOOR(B$20,0.05)*0.9*B$35*B$38*o_Isol_Bij_Tijdstip($A77,B$8,B$11))+(0.75*D$18*FLOOR(D$20,0.05)*0.9*D$35*D$38*o_Isol_Bij_Tijdstip($A77,B$8,B$11)),0)</f>
        <v>0</v>
      </c>
      <c r="C77" s="196" t="s">
        <v>11</v>
      </c>
      <c r="D77" s="196">
        <v>24.7</v>
      </c>
      <c r="E77" s="196"/>
      <c r="F77" s="197" cm="1">
        <f t="array" ref="F77">IFERROR((0.75*F$18*FLOOR(F$20,0.05)*0.9*F$35*F$38*o_Isol_Bij_Tijdstip($A77,F$8,F$11))+(0.75*H$18*FLOOR(H$20,0.05)*0.9*H$35*H$38*o_Isol_Bij_Tijdstip($A77,F$8,F$11)),0)</f>
        <v>0</v>
      </c>
      <c r="G77" s="196" t="s">
        <v>11</v>
      </c>
      <c r="H77" s="196"/>
      <c r="I77" s="196"/>
      <c r="J77" s="197" cm="1">
        <f t="array" ref="J77">IFERROR((0.75*J$18*FLOOR(J$20,0.05)*0.9*J$35*J$38*o_Isol_Bij_Tijdstip($A77,J$8,J$11))+(0.75*L$18*FLOOR(L$20,0.05)*0.9*L$35*L$38*o_Isol_Bij_Tijdstip($A77,J$8,J$11)),0)</f>
        <v>0</v>
      </c>
      <c r="K77" s="196" t="s">
        <v>11</v>
      </c>
      <c r="L77" s="196"/>
      <c r="M77" s="196"/>
      <c r="N77" s="197" cm="1">
        <f t="array" ref="N77">IFERROR((0.75*N$18*FLOOR(N$20,0.05)*0.9*N$35*N$38*o_Isol_Bij_Tijdstip($A77,N$8,N$11))+(0.75*P$18*FLOOR(P$20,0.05)*0.9*P$35*P$38*o_Isol_Bij_Tijdstip($A77,N$8,N$11)),0)</f>
        <v>0</v>
      </c>
      <c r="O77" s="196" t="s">
        <v>11</v>
      </c>
      <c r="P77" s="196"/>
      <c r="Q77" s="196"/>
      <c r="R77" s="197" cm="1">
        <f t="array" ref="R77">IFERROR(IF(R$10="Nee",0,(0.75*R$18*FLOOR(R$20,0.05)*0.9*R$35*R$38*o_Isol_Bij_Tijdstip($A77,R$8,R$11))+(0.75*T$18*FLOOR(T$20,0.05)*0.9*T$35*T$38*o_Isol_Bij_Tijdstip($A77,R$8,R$11))),0)</f>
        <v>0</v>
      </c>
      <c r="S77" s="196" t="s">
        <v>11</v>
      </c>
      <c r="T77" s="197">
        <f t="shared" ref="T77:T86" si="0">B77+F77+J77+N77+R77</f>
        <v>0</v>
      </c>
      <c r="U77" s="196" t="s">
        <v>11</v>
      </c>
    </row>
    <row r="78" spans="1:21" hidden="1" x14ac:dyDescent="0.2">
      <c r="A78" s="201">
        <v>0.41666666666666669</v>
      </c>
      <c r="B78" s="197" cm="1">
        <f t="array" ref="B78">IFERROR((0.75*B$18*FLOOR(B$20,0.05)*0.9*B$35*B$38*o_Isol_Bij_Tijdstip($A78,B$8,B$11))+(0.75*D$18*FLOOR(D$20,0.05)*0.9*D$35*D$38*o_Isol_Bij_Tijdstip($A78,B$8,B$11)),0)</f>
        <v>0</v>
      </c>
      <c r="C78" s="196" t="s">
        <v>11</v>
      </c>
      <c r="D78" s="196">
        <v>26.9</v>
      </c>
      <c r="E78" s="196"/>
      <c r="F78" s="197" cm="1">
        <f t="array" ref="F78">IFERROR((0.75*F$18*FLOOR(F$20,0.05)*0.9*F$35*F$38*o_Isol_Bij_Tijdstip($A78,F$8,F$11))+(0.75*H$18*FLOOR(H$20,0.05)*0.9*H$35*H$38*o_Isol_Bij_Tijdstip($A78,F$8,F$11)),0)</f>
        <v>0</v>
      </c>
      <c r="G78" s="196" t="s">
        <v>11</v>
      </c>
      <c r="H78" s="196"/>
      <c r="I78" s="196"/>
      <c r="J78" s="197" cm="1">
        <f t="array" ref="J78">IFERROR((0.75*J$18*FLOOR(J$20,0.05)*0.9*J$35*J$38*o_Isol_Bij_Tijdstip($A78,J$8,J$11))+(0.75*L$18*FLOOR(L$20,0.05)*0.9*L$35*L$38*o_Isol_Bij_Tijdstip($A78,J$8,J$11)),0)</f>
        <v>0</v>
      </c>
      <c r="K78" s="196" t="s">
        <v>11</v>
      </c>
      <c r="L78" s="196"/>
      <c r="M78" s="196"/>
      <c r="N78" s="197" cm="1">
        <f t="array" ref="N78">IFERROR((0.75*N$18*FLOOR(N$20,0.05)*0.9*N$35*N$38*o_Isol_Bij_Tijdstip($A78,N$8,N$11))+(0.75*P$18*FLOOR(P$20,0.05)*0.9*P$35*P$38*o_Isol_Bij_Tijdstip($A78,N$8,N$11)),0)</f>
        <v>0</v>
      </c>
      <c r="O78" s="196" t="s">
        <v>11</v>
      </c>
      <c r="P78" s="196"/>
      <c r="Q78" s="196"/>
      <c r="R78" s="197" cm="1">
        <f t="array" ref="R78">IFERROR(IF(R$10="Nee",0,(0.75*R$18*FLOOR(R$20,0.05)*0.9*R$35*R$38*o_Isol_Bij_Tijdstip($A78,R$8,R$11))+(0.75*T$18*FLOOR(T$20,0.05)*0.9*T$35*T$38*o_Isol_Bij_Tijdstip($A78,R$8,R$11))),0)</f>
        <v>0</v>
      </c>
      <c r="S78" s="196" t="s">
        <v>11</v>
      </c>
      <c r="T78" s="197">
        <f t="shared" si="0"/>
        <v>0</v>
      </c>
      <c r="U78" s="196" t="s">
        <v>11</v>
      </c>
    </row>
    <row r="79" spans="1:21" hidden="1" x14ac:dyDescent="0.2">
      <c r="A79" s="201">
        <v>0.45833333333333331</v>
      </c>
      <c r="B79" s="197" cm="1">
        <f t="array" ref="B79">IFERROR((0.75*B$18*FLOOR(B$20,0.05)*0.9*B$35*B$38*o_Isol_Bij_Tijdstip($A79,B$8,B$11))+(0.75*D$18*FLOOR(D$20,0.05)*0.9*D$35*D$38*o_Isol_Bij_Tijdstip($A79,B$8,B$11)),0)</f>
        <v>0</v>
      </c>
      <c r="C79" s="196" t="s">
        <v>11</v>
      </c>
      <c r="D79" s="196">
        <v>28.2</v>
      </c>
      <c r="E79" s="196"/>
      <c r="F79" s="197" cm="1">
        <f t="array" ref="F79">IFERROR((0.75*F$18*FLOOR(F$20,0.05)*0.9*F$35*F$38*o_Isol_Bij_Tijdstip($A79,F$8,F$11))+(0.75*H$18*FLOOR(H$20,0.05)*0.9*H$35*H$38*o_Isol_Bij_Tijdstip($A79,F$8,F$11)),0)</f>
        <v>0</v>
      </c>
      <c r="G79" s="196" t="s">
        <v>11</v>
      </c>
      <c r="H79" s="196"/>
      <c r="I79" s="196"/>
      <c r="J79" s="197" cm="1">
        <f t="array" ref="J79">IFERROR((0.75*J$18*FLOOR(J$20,0.05)*0.9*J$35*J$38*o_Isol_Bij_Tijdstip($A79,J$8,J$11))+(0.75*L$18*FLOOR(L$20,0.05)*0.9*L$35*L$38*o_Isol_Bij_Tijdstip($A79,J$8,J$11)),0)</f>
        <v>0</v>
      </c>
      <c r="K79" s="196" t="s">
        <v>11</v>
      </c>
      <c r="L79" s="196"/>
      <c r="M79" s="196"/>
      <c r="N79" s="197" cm="1">
        <f t="array" ref="N79">IFERROR((0.75*N$18*FLOOR(N$20,0.05)*0.9*N$35*N$38*o_Isol_Bij_Tijdstip($A79,N$8,N$11))+(0.75*P$18*FLOOR(P$20,0.05)*0.9*P$35*P$38*o_Isol_Bij_Tijdstip($A79,N$8,N$11)),0)</f>
        <v>0</v>
      </c>
      <c r="O79" s="196" t="s">
        <v>11</v>
      </c>
      <c r="P79" s="196"/>
      <c r="Q79" s="196"/>
      <c r="R79" s="197" cm="1">
        <f t="array" ref="R79">IFERROR(IF(R$10="Nee",0,(0.75*R$18*FLOOR(R$20,0.05)*0.9*R$35*R$38*o_Isol_Bij_Tijdstip($A79,R$8,R$11))+(0.75*T$18*FLOOR(T$20,0.05)*0.9*T$35*T$38*o_Isol_Bij_Tijdstip($A79,R$8,R$11))),0)</f>
        <v>0</v>
      </c>
      <c r="S79" s="196" t="s">
        <v>11</v>
      </c>
      <c r="T79" s="197">
        <f t="shared" si="0"/>
        <v>0</v>
      </c>
      <c r="U79" s="196" t="s">
        <v>11</v>
      </c>
    </row>
    <row r="80" spans="1:21" hidden="1" x14ac:dyDescent="0.2">
      <c r="A80" s="201">
        <v>0.5</v>
      </c>
      <c r="B80" s="197" cm="1">
        <f t="array" ref="B80">IFERROR((0.75*B$18*FLOOR(B$20,0.05)*0.9*B$35*B$38*o_Isol_Bij_Tijdstip($A80,B$8,B$11))+(0.75*D$18*FLOOR(D$20,0.05)*0.9*D$35*D$38*o_Isol_Bij_Tijdstip($A80,B$8,B$11)),0)</f>
        <v>0</v>
      </c>
      <c r="C80" s="196" t="s">
        <v>11</v>
      </c>
      <c r="D80" s="196">
        <v>28.9</v>
      </c>
      <c r="E80" s="196"/>
      <c r="F80" s="197" cm="1">
        <f t="array" ref="F80">IFERROR((0.75*F$18*FLOOR(F$20,0.05)*0.9*F$35*F$38*o_Isol_Bij_Tijdstip($A80,F$8,F$11))+(0.75*H$18*FLOOR(H$20,0.05)*0.9*H$35*H$38*o_Isol_Bij_Tijdstip($A80,F$8,F$11)),0)</f>
        <v>0</v>
      </c>
      <c r="G80" s="196" t="s">
        <v>11</v>
      </c>
      <c r="H80" s="196"/>
      <c r="I80" s="196"/>
      <c r="J80" s="197" cm="1">
        <f t="array" ref="J80">IFERROR((0.75*J$18*FLOOR(J$20,0.05)*0.9*J$35*J$38*o_Isol_Bij_Tijdstip($A80,J$8,J$11))+(0.75*L$18*FLOOR(L$20,0.05)*0.9*L$35*L$38*o_Isol_Bij_Tijdstip($A80,J$8,J$11)),0)</f>
        <v>0</v>
      </c>
      <c r="K80" s="196" t="s">
        <v>11</v>
      </c>
      <c r="L80" s="196"/>
      <c r="M80" s="196"/>
      <c r="N80" s="197" cm="1">
        <f t="array" ref="N80">IFERROR((0.75*N$18*FLOOR(N$20,0.05)*0.9*N$35*N$38*o_Isol_Bij_Tijdstip($A80,N$8,N$11))+(0.75*P$18*FLOOR(P$20,0.05)*0.9*P$35*P$38*o_Isol_Bij_Tijdstip($A80,N$8,N$11)),0)</f>
        <v>0</v>
      </c>
      <c r="O80" s="196" t="s">
        <v>11</v>
      </c>
      <c r="P80" s="196"/>
      <c r="Q80" s="196"/>
      <c r="R80" s="197" cm="1">
        <f t="array" ref="R80">IFERROR(IF(R$10="Nee",0,(0.75*R$18*FLOOR(R$20,0.05)*0.9*R$35*R$38*o_Isol_Bij_Tijdstip($A80,R$8,R$11))+(0.75*T$18*FLOOR(T$20,0.05)*0.9*T$35*T$38*o_Isol_Bij_Tijdstip($A80,R$8,R$11))),0)</f>
        <v>0</v>
      </c>
      <c r="S80" s="196" t="s">
        <v>11</v>
      </c>
      <c r="T80" s="197">
        <f t="shared" si="0"/>
        <v>0</v>
      </c>
      <c r="U80" s="196" t="s">
        <v>11</v>
      </c>
    </row>
    <row r="81" spans="1:21" hidden="1" x14ac:dyDescent="0.2">
      <c r="A81" s="201">
        <v>0.54166666666666696</v>
      </c>
      <c r="B81" s="197" cm="1">
        <f t="array" ref="B81">IFERROR((0.75*B$18*FLOOR(B$20,0.05)*0.9*B$35*B$38*o_Isol_Bij_Tijdstip($A81,B$8,B$11))+(0.75*D$18*FLOOR(D$20,0.05)*0.9*D$35*D$38*o_Isol_Bij_Tijdstip($A81,B$8,B$11)),0)</f>
        <v>0</v>
      </c>
      <c r="C81" s="196" t="s">
        <v>11</v>
      </c>
      <c r="D81" s="196">
        <v>29.7</v>
      </c>
      <c r="E81" s="196"/>
      <c r="F81" s="197" cm="1">
        <f t="array" ref="F81">IFERROR((0.75*F$18*FLOOR(F$20,0.05)*0.9*F$35*F$38*o_Isol_Bij_Tijdstip($A81,F$8,F$11))+(0.75*H$18*FLOOR(H$20,0.05)*0.9*H$35*H$38*o_Isol_Bij_Tijdstip($A81,F$8,F$11)),0)</f>
        <v>0</v>
      </c>
      <c r="G81" s="196" t="s">
        <v>11</v>
      </c>
      <c r="H81" s="196"/>
      <c r="I81" s="196"/>
      <c r="J81" s="197" cm="1">
        <f t="array" ref="J81">IFERROR((0.75*J$18*FLOOR(J$20,0.05)*0.9*J$35*J$38*o_Isol_Bij_Tijdstip($A81,J$8,J$11))+(0.75*L$18*FLOOR(L$20,0.05)*0.9*L$35*L$38*o_Isol_Bij_Tijdstip($A81,J$8,J$11)),0)</f>
        <v>0</v>
      </c>
      <c r="K81" s="196" t="s">
        <v>11</v>
      </c>
      <c r="L81" s="196"/>
      <c r="M81" s="196"/>
      <c r="N81" s="197" cm="1">
        <f t="array" ref="N81">IFERROR((0.75*N$18*FLOOR(N$20,0.05)*0.9*N$35*N$38*o_Isol_Bij_Tijdstip($A81,N$8,N$11))+(0.75*P$18*FLOOR(P$20,0.05)*0.9*P$35*P$38*o_Isol_Bij_Tijdstip($A81,N$8,N$11)),0)</f>
        <v>0</v>
      </c>
      <c r="O81" s="196" t="s">
        <v>11</v>
      </c>
      <c r="P81" s="196"/>
      <c r="Q81" s="196"/>
      <c r="R81" s="197" cm="1">
        <f t="array" ref="R81">IFERROR(IF(R$10="Nee",0,(0.75*R$18*FLOOR(R$20,0.05)*0.9*R$35*R$38*o_Isol_Bij_Tijdstip($A81,R$8,R$11))+(0.75*T$18*FLOOR(T$20,0.05)*0.9*T$35*T$38*o_Isol_Bij_Tijdstip($A81,R$8,R$11))),0)</f>
        <v>0</v>
      </c>
      <c r="S81" s="196" t="s">
        <v>11</v>
      </c>
      <c r="T81" s="197">
        <f t="shared" si="0"/>
        <v>0</v>
      </c>
      <c r="U81" s="196" t="s">
        <v>11</v>
      </c>
    </row>
    <row r="82" spans="1:21" hidden="1" x14ac:dyDescent="0.2">
      <c r="A82" s="201">
        <v>0.58333333333333404</v>
      </c>
      <c r="B82" s="197" cm="1">
        <f t="array" ref="B82">IFERROR((0.75*B$18*FLOOR(B$20,0.05)*0.9*B$35*B$38*o_Isol_Bij_Tijdstip($A82,B$8,B$11))+(0.75*D$18*FLOOR(D$20,0.05)*0.9*D$35*D$38*o_Isol_Bij_Tijdstip($A82,B$8,B$11)),0)</f>
        <v>0</v>
      </c>
      <c r="C82" s="196" t="s">
        <v>11</v>
      </c>
      <c r="D82" s="196">
        <v>29.9</v>
      </c>
      <c r="E82" s="196"/>
      <c r="F82" s="197" cm="1">
        <f t="array" ref="F82">IFERROR((0.75*F$18*FLOOR(F$20,0.05)*0.9*F$35*F$38*o_Isol_Bij_Tijdstip($A82,F$8,F$11))+(0.75*H$18*FLOOR(H$20,0.05)*0.9*H$35*H$38*o_Isol_Bij_Tijdstip($A82,F$8,F$11)),0)</f>
        <v>0</v>
      </c>
      <c r="G82" s="196" t="s">
        <v>11</v>
      </c>
      <c r="H82" s="196"/>
      <c r="I82" s="196"/>
      <c r="J82" s="197" cm="1">
        <f t="array" ref="J82">IFERROR((0.75*J$18*FLOOR(J$20,0.05)*0.9*J$35*J$38*o_Isol_Bij_Tijdstip($A82,J$8,J$11))+(0.75*L$18*FLOOR(L$20,0.05)*0.9*L$35*L$38*o_Isol_Bij_Tijdstip($A82,J$8,J$11)),0)</f>
        <v>0</v>
      </c>
      <c r="K82" s="196" t="s">
        <v>11</v>
      </c>
      <c r="L82" s="196"/>
      <c r="M82" s="196"/>
      <c r="N82" s="197" cm="1">
        <f t="array" ref="N82">IFERROR((0.75*N$18*FLOOR(N$20,0.05)*0.9*N$35*N$38*o_Isol_Bij_Tijdstip($A82,N$8,N$11))+(0.75*P$18*FLOOR(P$20,0.05)*0.9*P$35*P$38*o_Isol_Bij_Tijdstip($A82,N$8,N$11)),0)</f>
        <v>0</v>
      </c>
      <c r="O82" s="196" t="s">
        <v>11</v>
      </c>
      <c r="P82" s="196"/>
      <c r="Q82" s="196"/>
      <c r="R82" s="197" cm="1">
        <f t="array" ref="R82">IFERROR(IF(R$10="Nee",0,(0.75*R$18*FLOOR(R$20,0.05)*0.9*R$35*R$38*o_Isol_Bij_Tijdstip($A82,R$8,R$11))+(0.75*T$18*FLOOR(T$20,0.05)*0.9*T$35*T$38*o_Isol_Bij_Tijdstip($A82,R$8,R$11))),0)</f>
        <v>0</v>
      </c>
      <c r="S82" s="196" t="s">
        <v>11</v>
      </c>
      <c r="T82" s="197">
        <f t="shared" si="0"/>
        <v>0</v>
      </c>
      <c r="U82" s="196" t="s">
        <v>11</v>
      </c>
    </row>
    <row r="83" spans="1:21" hidden="1" x14ac:dyDescent="0.2">
      <c r="A83" s="201">
        <v>0.625000000000001</v>
      </c>
      <c r="B83" s="197" cm="1">
        <f t="array" ref="B83">IFERROR((0.75*B$18*FLOOR(B$20,0.05)*0.9*B$35*B$38*o_Isol_Bij_Tijdstip($A83,B$8,B$11))+(0.75*D$18*FLOOR(D$20,0.05)*0.9*D$35*D$38*o_Isol_Bij_Tijdstip($A83,B$8,B$11)),0)</f>
        <v>0</v>
      </c>
      <c r="C83" s="196" t="s">
        <v>11</v>
      </c>
      <c r="D83" s="196">
        <v>29.8</v>
      </c>
      <c r="E83" s="196"/>
      <c r="F83" s="197" cm="1">
        <f t="array" ref="F83">IFERROR((0.75*F$18*FLOOR(F$20,0.05)*0.9*F$35*F$38*o_Isol_Bij_Tijdstip($A83,F$8,F$11))+(0.75*H$18*FLOOR(H$20,0.05)*0.9*H$35*H$38*o_Isol_Bij_Tijdstip($A83,F$8,F$11)),0)</f>
        <v>0</v>
      </c>
      <c r="G83" s="196" t="s">
        <v>11</v>
      </c>
      <c r="H83" s="196"/>
      <c r="I83" s="196"/>
      <c r="J83" s="197" cm="1">
        <f t="array" ref="J83">IFERROR((0.75*J$18*FLOOR(J$20,0.05)*0.9*J$35*J$38*o_Isol_Bij_Tijdstip($A83,J$8,J$11))+(0.75*L$18*FLOOR(L$20,0.05)*0.9*L$35*L$38*o_Isol_Bij_Tijdstip($A83,J$8,J$11)),0)</f>
        <v>0</v>
      </c>
      <c r="K83" s="196" t="s">
        <v>11</v>
      </c>
      <c r="L83" s="196"/>
      <c r="M83" s="196"/>
      <c r="N83" s="197" cm="1">
        <f t="array" ref="N83">IFERROR((0.75*N$18*FLOOR(N$20,0.05)*0.9*N$35*N$38*o_Isol_Bij_Tijdstip($A83,N$8,N$11))+(0.75*P$18*FLOOR(P$20,0.05)*0.9*P$35*P$38*o_Isol_Bij_Tijdstip($A83,N$8,N$11)),0)</f>
        <v>0</v>
      </c>
      <c r="O83" s="196" t="s">
        <v>11</v>
      </c>
      <c r="P83" s="196"/>
      <c r="Q83" s="196"/>
      <c r="R83" s="197" cm="1">
        <f t="array" ref="R83">IFERROR(IF(R$10="Nee",0,(0.75*R$18*FLOOR(R$20,0.05)*0.9*R$35*R$38*o_Isol_Bij_Tijdstip($A83,R$8,R$11))+(0.75*T$18*FLOOR(T$20,0.05)*0.9*T$35*T$38*o_Isol_Bij_Tijdstip($A83,R$8,R$11))),0)</f>
        <v>0</v>
      </c>
      <c r="S83" s="196" t="s">
        <v>11</v>
      </c>
      <c r="T83" s="197">
        <f t="shared" si="0"/>
        <v>0</v>
      </c>
      <c r="U83" s="196" t="s">
        <v>11</v>
      </c>
    </row>
    <row r="84" spans="1:21" hidden="1" x14ac:dyDescent="0.2">
      <c r="A84" s="201">
        <v>0.66666666666666796</v>
      </c>
      <c r="B84" s="197" cm="1">
        <f t="array" ref="B84">IFERROR((0.75*B$18*FLOOR(B$20,0.05)*0.9*B$35*B$38*o_Isol_Bij_Tijdstip($A84,B$8,B$11))+(0.75*D$18*FLOOR(D$20,0.05)*0.9*D$35*D$38*o_Isol_Bij_Tijdstip($A84,B$8,B$11)),0)</f>
        <v>0</v>
      </c>
      <c r="C84" s="196" t="s">
        <v>11</v>
      </c>
      <c r="D84" s="196">
        <v>30.4</v>
      </c>
      <c r="E84" s="196"/>
      <c r="F84" s="197" cm="1">
        <f t="array" ref="F84">IFERROR((0.75*F$18*FLOOR(F$20,0.05)*0.9*F$35*F$38*o_Isol_Bij_Tijdstip($A84,F$8,F$11))+(0.75*H$18*FLOOR(H$20,0.05)*0.9*H$35*H$38*o_Isol_Bij_Tijdstip($A84,F$8,F$11)),0)</f>
        <v>0</v>
      </c>
      <c r="G84" s="196" t="s">
        <v>11</v>
      </c>
      <c r="H84" s="196"/>
      <c r="I84" s="196"/>
      <c r="J84" s="197" cm="1">
        <f t="array" ref="J84">IFERROR((0.75*J$18*FLOOR(J$20,0.05)*0.9*J$35*J$38*o_Isol_Bij_Tijdstip($A84,J$8,J$11))+(0.75*L$18*FLOOR(L$20,0.05)*0.9*L$35*L$38*o_Isol_Bij_Tijdstip($A84,J$8,J$11)),0)</f>
        <v>0</v>
      </c>
      <c r="K84" s="196" t="s">
        <v>11</v>
      </c>
      <c r="L84" s="196"/>
      <c r="M84" s="196"/>
      <c r="N84" s="197" cm="1">
        <f t="array" ref="N84">IFERROR((0.75*N$18*FLOOR(N$20,0.05)*0.9*N$35*N$38*o_Isol_Bij_Tijdstip($A84,N$8,N$11))+(0.75*P$18*FLOOR(P$20,0.05)*0.9*P$35*P$38*o_Isol_Bij_Tijdstip($A84,N$8,N$11)),0)</f>
        <v>0</v>
      </c>
      <c r="O84" s="196" t="s">
        <v>11</v>
      </c>
      <c r="P84" s="196"/>
      <c r="Q84" s="196"/>
      <c r="R84" s="197" cm="1">
        <f t="array" ref="R84">IFERROR(IF(R$10="Nee",0,(0.75*R$18*FLOOR(R$20,0.05)*0.9*R$35*R$38*o_Isol_Bij_Tijdstip($A84,R$8,R$11))+(0.75*T$18*FLOOR(T$20,0.05)*0.9*T$35*T$38*o_Isol_Bij_Tijdstip($A84,R$8,R$11))),0)</f>
        <v>0</v>
      </c>
      <c r="S84" s="196" t="s">
        <v>11</v>
      </c>
      <c r="T84" s="197">
        <f t="shared" si="0"/>
        <v>0</v>
      </c>
      <c r="U84" s="196" t="s">
        <v>11</v>
      </c>
    </row>
    <row r="85" spans="1:21" hidden="1" x14ac:dyDescent="0.2">
      <c r="A85" s="201">
        <v>0.70833333333333504</v>
      </c>
      <c r="B85" s="197" cm="1">
        <f t="array" ref="B85">IFERROR((0.75*B$18*FLOOR(B$20,0.05)*0.9*B$35*B$38*o_Isol_Bij_Tijdstip($A85,B$8,B$11))+(0.75*D$18*FLOOR(D$20,0.05)*0.9*D$35*D$38*o_Isol_Bij_Tijdstip($A85,B$8,B$11)),0)</f>
        <v>0</v>
      </c>
      <c r="C85" s="196" t="s">
        <v>11</v>
      </c>
      <c r="D85" s="196">
        <v>30.6</v>
      </c>
      <c r="E85" s="196"/>
      <c r="F85" s="197" cm="1">
        <f t="array" ref="F85">IFERROR((0.75*F$18*FLOOR(F$20,0.05)*0.9*F$35*F$38*o_Isol_Bij_Tijdstip($A85,F$8,F$11))+(0.75*H$18*FLOOR(H$20,0.05)*0.9*H$35*H$38*o_Isol_Bij_Tijdstip($A85,F$8,F$11)),0)</f>
        <v>0</v>
      </c>
      <c r="G85" s="196" t="s">
        <v>11</v>
      </c>
      <c r="H85" s="196"/>
      <c r="I85" s="196"/>
      <c r="J85" s="197" cm="1">
        <f t="array" ref="J85">IFERROR((0.75*J$18*FLOOR(J$20,0.05)*0.9*J$35*J$38*o_Isol_Bij_Tijdstip($A85,J$8,J$11))+(0.75*L$18*FLOOR(L$20,0.05)*0.9*L$35*L$38*o_Isol_Bij_Tijdstip($A85,J$8,J$11)),0)</f>
        <v>0</v>
      </c>
      <c r="K85" s="196" t="s">
        <v>11</v>
      </c>
      <c r="L85" s="196"/>
      <c r="M85" s="196"/>
      <c r="N85" s="197" cm="1">
        <f t="array" ref="N85">IFERROR((0.75*N$18*FLOOR(N$20,0.05)*0.9*N$35*N$38*o_Isol_Bij_Tijdstip($A85,N$8,N$11))+(0.75*P$18*FLOOR(P$20,0.05)*0.9*P$35*P$38*o_Isol_Bij_Tijdstip($A85,N$8,N$11)),0)</f>
        <v>0</v>
      </c>
      <c r="O85" s="196" t="s">
        <v>11</v>
      </c>
      <c r="P85" s="196"/>
      <c r="Q85" s="196"/>
      <c r="R85" s="197" cm="1">
        <f t="array" ref="R85">IFERROR(IF(R$10="Nee",0,(0.75*R$18*FLOOR(R$20,0.05)*0.9*R$35*R$38*o_Isol_Bij_Tijdstip($A85,R$8,R$11))+(0.75*T$18*FLOOR(T$20,0.05)*0.9*T$35*T$38*o_Isol_Bij_Tijdstip($A85,R$8,R$11))),0)</f>
        <v>0</v>
      </c>
      <c r="S85" s="196" t="s">
        <v>11</v>
      </c>
      <c r="T85" s="197">
        <f t="shared" si="0"/>
        <v>0</v>
      </c>
      <c r="U85" s="196" t="s">
        <v>11</v>
      </c>
    </row>
    <row r="86" spans="1:21" hidden="1" x14ac:dyDescent="0.2">
      <c r="A86" s="201">
        <v>0.750000000000002</v>
      </c>
      <c r="B86" s="197" cm="1">
        <f t="array" ref="B86">IFERROR((0.75*B$18*FLOOR(B$20,0.05)*0.9*B$35*B$38*o_Isol_Bij_Tijdstip($A86,B$8,B$11))+(0.75*D$18*FLOOR(D$20,0.05)*0.9*D$35*D$38*o_Isol_Bij_Tijdstip($A86,B$8,B$11)),0)</f>
        <v>0</v>
      </c>
      <c r="C86" s="196" t="s">
        <v>11</v>
      </c>
      <c r="D86" s="196">
        <v>30.1</v>
      </c>
      <c r="E86" s="196"/>
      <c r="F86" s="197" cm="1">
        <f t="array" ref="F86">IFERROR((0.75*F$18*FLOOR(F$20,0.05)*0.9*F$35*F$38*o_Isol_Bij_Tijdstip($A86,F$8,F$11))+(0.75*H$18*FLOOR(H$20,0.05)*0.9*H$35*H$38*o_Isol_Bij_Tijdstip($A86,F$8,F$11)),0)</f>
        <v>0</v>
      </c>
      <c r="G86" s="196" t="s">
        <v>11</v>
      </c>
      <c r="H86" s="196"/>
      <c r="I86" s="196"/>
      <c r="J86" s="197" cm="1">
        <f t="array" ref="J86">IFERROR((0.75*J$18*FLOOR(J$20,0.05)*0.9*J$35*J$38*o_Isol_Bij_Tijdstip($A86,J$8,J$11))+(0.75*L$18*FLOOR(L$20,0.05)*0.9*L$35*L$38*o_Isol_Bij_Tijdstip($A86,J$8,J$11)),0)</f>
        <v>0</v>
      </c>
      <c r="K86" s="196" t="s">
        <v>11</v>
      </c>
      <c r="L86" s="196"/>
      <c r="M86" s="196"/>
      <c r="N86" s="197" cm="1">
        <f t="array" ref="N86">IFERROR((0.75*N$18*FLOOR(N$20,0.05)*0.9*N$35*N$38*o_Isol_Bij_Tijdstip($A86,N$8,N$11))+(0.75*P$18*FLOOR(P$20,0.05)*0.9*P$35*P$38*o_Isol_Bij_Tijdstip($A86,N$8,N$11)),0)</f>
        <v>0</v>
      </c>
      <c r="O86" s="196" t="s">
        <v>11</v>
      </c>
      <c r="P86" s="196"/>
      <c r="Q86" s="196"/>
      <c r="R86" s="197" cm="1">
        <f t="array" ref="R86">IFERROR(IF(R$10="Nee",0,(0.75*R$18*FLOOR(R$20,0.05)*0.9*R$35*R$38*o_Isol_Bij_Tijdstip($A86,R$8,R$11))+(0.75*T$18*FLOOR(T$20,0.05)*0.9*T$35*T$38*o_Isol_Bij_Tijdstip($A86,R$8,R$11))),0)</f>
        <v>0</v>
      </c>
      <c r="S86" s="196" t="s">
        <v>11</v>
      </c>
      <c r="T86" s="197">
        <f t="shared" si="0"/>
        <v>0</v>
      </c>
      <c r="U86" s="196" t="s">
        <v>11</v>
      </c>
    </row>
    <row r="87" spans="1:21" hidden="1" x14ac:dyDescent="0.2">
      <c r="A87" s="201"/>
      <c r="B87" s="196"/>
      <c r="C87" s="196"/>
      <c r="D87" s="196"/>
      <c r="E87" s="196"/>
      <c r="F87" s="196"/>
      <c r="G87" s="196"/>
      <c r="H87" s="196"/>
      <c r="I87" s="196"/>
      <c r="J87" s="196"/>
      <c r="K87" s="196"/>
      <c r="L87" s="196"/>
      <c r="M87" s="196"/>
      <c r="N87" s="196"/>
      <c r="O87" s="196"/>
      <c r="P87" s="196"/>
      <c r="Q87" s="196"/>
      <c r="R87" s="196"/>
      <c r="S87" s="196"/>
      <c r="T87" s="196"/>
      <c r="U87" s="196"/>
    </row>
    <row r="88" spans="1:21" hidden="1" x14ac:dyDescent="0.2">
      <c r="A88" s="196" t="s">
        <v>151</v>
      </c>
      <c r="B88" s="200" t="str">
        <f>IF(MAX(T77:T86)=0,"Geen glas aanwezig",_xlfn.XLOOKUP(MAX(T77:T86),T77:T86,A77:A86,"nvt"))</f>
        <v>Geen glas aanwezig</v>
      </c>
      <c r="C88" s="196"/>
      <c r="D88" s="196"/>
      <c r="E88" s="196"/>
      <c r="F88" s="196"/>
      <c r="G88" s="196"/>
      <c r="H88" s="196"/>
      <c r="I88" s="196"/>
      <c r="J88" s="196"/>
      <c r="K88" s="196"/>
      <c r="L88" s="196"/>
      <c r="M88" s="196"/>
      <c r="N88" s="196"/>
      <c r="O88" s="196"/>
      <c r="P88" s="196"/>
      <c r="Q88" s="196"/>
      <c r="R88" s="196"/>
      <c r="S88" s="196"/>
      <c r="T88" s="196"/>
      <c r="U88" s="196"/>
    </row>
    <row r="89" spans="1:21" hidden="1" x14ac:dyDescent="0.2"/>
    <row r="90" spans="1:21" hidden="1" x14ac:dyDescent="0.2"/>
    <row r="91" spans="1:21" hidden="1" x14ac:dyDescent="0.2"/>
    <row r="92" spans="1:21" hidden="1" x14ac:dyDescent="0.2"/>
    <row r="93" spans="1:21" hidden="1" x14ac:dyDescent="0.2"/>
    <row r="94" spans="1:21" hidden="1" x14ac:dyDescent="0.2"/>
    <row r="95" spans="1:21" hidden="1" x14ac:dyDescent="0.2"/>
  </sheetData>
  <sheetProtection algorithmName="SHA-512" hashValue="gzLf9xAVsTwGv/hb7Ry8BRO8ALCR+YQAI2mCHZG9ibphyZvnBfziYMzWIw61gaFGaPGNNIDg0LcK5+h6L7UwLg==" saltValue="zGMLqClvuHoDH4Y6FuNGZw==" spinCount="100000" sheet="1" objects="1" scenarios="1" selectLockedCells="1"/>
  <mergeCells count="41">
    <mergeCell ref="B60:D60"/>
    <mergeCell ref="B61:D61"/>
    <mergeCell ref="B63:D63"/>
    <mergeCell ref="B64:D64"/>
    <mergeCell ref="B57:D57"/>
    <mergeCell ref="F57:H57"/>
    <mergeCell ref="J57:L57"/>
    <mergeCell ref="N57:P57"/>
    <mergeCell ref="R57:T57"/>
    <mergeCell ref="B58:D58"/>
    <mergeCell ref="F58:H58"/>
    <mergeCell ref="J58:L58"/>
    <mergeCell ref="N58:P58"/>
    <mergeCell ref="R58:T58"/>
    <mergeCell ref="R41:T41"/>
    <mergeCell ref="B56:D56"/>
    <mergeCell ref="F56:H56"/>
    <mergeCell ref="J56:L56"/>
    <mergeCell ref="N56:P56"/>
    <mergeCell ref="R56:T56"/>
    <mergeCell ref="B55:D55"/>
    <mergeCell ref="F55:H55"/>
    <mergeCell ref="J55:L55"/>
    <mergeCell ref="N55:P55"/>
    <mergeCell ref="R55:T55"/>
    <mergeCell ref="A71:U72"/>
    <mergeCell ref="A1:U1"/>
    <mergeCell ref="B7:D7"/>
    <mergeCell ref="F7:H7"/>
    <mergeCell ref="J7:L7"/>
    <mergeCell ref="N7:P7"/>
    <mergeCell ref="R7:U7"/>
    <mergeCell ref="B42:D42"/>
    <mergeCell ref="F42:H42"/>
    <mergeCell ref="J42:L42"/>
    <mergeCell ref="N42:P42"/>
    <mergeCell ref="R42:T42"/>
    <mergeCell ref="B41:D41"/>
    <mergeCell ref="F41:H41"/>
    <mergeCell ref="J41:L41"/>
    <mergeCell ref="N41:P41"/>
  </mergeCells>
  <conditionalFormatting sqref="B77:B86">
    <cfRule type="colorScale" priority="6">
      <colorScale>
        <cfvo type="min"/>
        <cfvo type="percentile" val="50"/>
        <cfvo type="max"/>
        <color rgb="FF61D6FF"/>
        <color rgb="FFFFD85D"/>
        <color rgb="FFFF6D6D"/>
      </colorScale>
    </cfRule>
  </conditionalFormatting>
  <conditionalFormatting sqref="T77:T86">
    <cfRule type="colorScale" priority="5">
      <colorScale>
        <cfvo type="min"/>
        <cfvo type="percentile" val="50"/>
        <cfvo type="max"/>
        <color rgb="FF61D6FF"/>
        <color rgb="FFFFD85D"/>
        <color rgb="FFFF6D6D"/>
      </colorScale>
    </cfRule>
  </conditionalFormatting>
  <conditionalFormatting sqref="F77:F86">
    <cfRule type="colorScale" priority="4">
      <colorScale>
        <cfvo type="min"/>
        <cfvo type="percentile" val="50"/>
        <cfvo type="max"/>
        <color rgb="FF61D6FF"/>
        <color rgb="FFFFD85D"/>
        <color rgb="FFFF6D6D"/>
      </colorScale>
    </cfRule>
  </conditionalFormatting>
  <conditionalFormatting sqref="J77:J86">
    <cfRule type="colorScale" priority="3">
      <colorScale>
        <cfvo type="min"/>
        <cfvo type="percentile" val="50"/>
        <cfvo type="max"/>
        <color rgb="FF61D6FF"/>
        <color rgb="FFFFD85D"/>
        <color rgb="FFFF6D6D"/>
      </colorScale>
    </cfRule>
  </conditionalFormatting>
  <conditionalFormatting sqref="N77:N86">
    <cfRule type="colorScale" priority="2">
      <colorScale>
        <cfvo type="min"/>
        <cfvo type="percentile" val="50"/>
        <cfvo type="max"/>
        <color rgb="FF61D6FF"/>
        <color rgb="FFFFD85D"/>
        <color rgb="FFFF6D6D"/>
      </colorScale>
    </cfRule>
  </conditionalFormatting>
  <conditionalFormatting sqref="R77:R86">
    <cfRule type="colorScale" priority="1">
      <colorScale>
        <cfvo type="min"/>
        <cfvo type="percentile" val="50"/>
        <cfvo type="max"/>
        <color rgb="FF61D6FF"/>
        <color rgb="FFFFD85D"/>
        <color rgb="FFFF6D6D"/>
      </colorScale>
    </cfRule>
  </conditionalFormatting>
  <dataValidations count="5">
    <dataValidation type="list" allowBlank="1" showInputMessage="1" showErrorMessage="1" sqref="B4" xr:uid="{A5A45ED0-C9B1-4585-A8D9-4019031B8DF7}">
      <formula1>"Woonvertrek, Andere verblijfsruimte"</formula1>
    </dataValidation>
    <dataValidation type="list" allowBlank="1" showInputMessage="1" showErrorMessage="1" sqref="P30 L30 D30 N30 H30 F30 J30 B30" xr:uid="{55EF3E98-CADB-4526-B9FC-0B56584BD6C0}">
      <formula1>"Links,Rechts,Beide zijden"</formula1>
    </dataValidation>
    <dataValidation type="whole" allowBlank="1" showErrorMessage="1" error="Een platdak heeft een helling van maximaal 15°, voor daken in bij gevels op de juiste orientatie" sqref="R11" xr:uid="{ED1D7F7C-FBD2-4CA0-909B-93808B53A2FF}">
      <formula1>0</formula1>
      <formula2>15</formula2>
    </dataValidation>
    <dataValidation type="whole" allowBlank="1" showErrorMessage="1" error="Een helling &lt; 15° is en platdak voer deze bij kolom R in. _x000a_90° is de maximale invoerwaarde" sqref="H11 D11 L10:L11 B11 F11 J11 K8:M9 O8:Q10 T11 N11 K10 M10 P11:P12 Q11:Q16 P15:P16" xr:uid="{CD8D844F-FA76-4B4E-8FF0-CEF81B840C33}">
      <formula1>15</formula1>
      <formula2>90</formula2>
    </dataValidation>
    <dataValidation type="list" allowBlank="1" showInputMessage="1" showErrorMessage="1" sqref="F10 N10 B10 J10 R10" xr:uid="{E5CC6AC1-F169-4EA9-9730-0C812ABD1E20}">
      <formula1>"Nee,Ja"</formula1>
    </dataValidation>
  </dataValidations>
  <pageMargins left="0.23622047244094491" right="0.23622047244094491" top="0.74803149606299213" bottom="0.74803149606299213" header="0.31496062992125984" footer="0.31496062992125984"/>
  <pageSetup paperSize="9" scale="48" orientation="landscape" r:id="rId1"/>
  <headerFooter alignWithMargins="0">
    <oddHeader>&amp;CREKENTOOL VEREENVOUDIGDE BEPALINGSMETHODE KOELBEHOEFTE (BIJLAGE AA - VERSIE 2025 -NTA 8800)&amp;Rversie 2025.04 d.d. 09-04-2025</oddHeader>
    <oddFooter>&amp;LPrint datum:&amp;D &amp;T_x000D_&amp;1#&amp;"Calibri"&amp;10&amp;K000000 Intern gebruik&amp;C&amp;F&amp;R&amp;P van &amp;N</oddFooter>
  </headerFooter>
  <drawing r:id="rId2"/>
  <legacyDrawing r:id="rId3"/>
  <controls>
    <mc:AlternateContent xmlns:mc="http://schemas.openxmlformats.org/markup-compatibility/2006">
      <mc:Choice Requires="x14">
        <control shapeId="13332" r:id="rId4" name="CommandButton1">
          <controlPr defaultSize="0" autoLine="0" r:id="rId5">
            <anchor moveWithCells="1">
              <from>
                <xdr:col>3</xdr:col>
                <xdr:colOff>209550</xdr:colOff>
                <xdr:row>1</xdr:row>
                <xdr:rowOff>133350</xdr:rowOff>
              </from>
              <to>
                <xdr:col>5</xdr:col>
                <xdr:colOff>38100</xdr:colOff>
                <xdr:row>4</xdr:row>
                <xdr:rowOff>9525</xdr:rowOff>
              </to>
            </anchor>
          </controlPr>
        </control>
      </mc:Choice>
      <mc:Fallback>
        <control shapeId="13332" r:id="rId4" name="CommandButton1"/>
      </mc:Fallback>
    </mc:AlternateContent>
  </controls>
  <extLst>
    <ext xmlns:x14="http://schemas.microsoft.com/office/spreadsheetml/2009/9/main" uri="{CCE6A557-97BC-4b89-ADB6-D9C93CAAB3DF}">
      <x14:dataValidations xmlns:xm="http://schemas.microsoft.com/office/excel/2006/main" count="5">
        <x14:dataValidation type="list" allowBlank="1" showInputMessage="1" showErrorMessage="1" xr:uid="{6C3021B3-22C8-4422-9F9D-DEC8D4881F3D}">
          <x14:formula1>
            <xm:f>Tabellen!$A$42:$A$49</xm:f>
          </x14:formula1>
          <xm:sqref>F8 J8 N8</xm:sqref>
        </x14:dataValidation>
        <x14:dataValidation type="list" allowBlank="1" showInputMessage="1" showErrorMessage="1" xr:uid="{54967B29-DE9A-473D-84DD-6E3E7330FB84}">
          <x14:formula1>
            <xm:f>Tabellen!$A$103:$A$108</xm:f>
          </x14:formula1>
          <xm:sqref>L21 H21 B21 D21 N21 F21 P21 J21</xm:sqref>
        </x14:dataValidation>
        <x14:dataValidation type="list" allowBlank="1" showInputMessage="1" showErrorMessage="1" xr:uid="{30528828-2D08-416A-97AE-2F2608D447CD}">
          <x14:formula1>
            <xm:f>Tabellen!$A$111:$A$113</xm:f>
          </x14:formula1>
          <xm:sqref>R21 T21</xm:sqref>
        </x14:dataValidation>
        <x14:dataValidation type="list" allowBlank="1" showInputMessage="1" showErrorMessage="1" xr:uid="{2F249120-8EF0-45D0-92C1-4006D412C439}">
          <x14:formula1>
            <xm:f>Tabellen!$A$85:$A$99</xm:f>
          </x14:formula1>
          <xm:sqref>P37 N37 D37 B37 H37 L37 F37 J37</xm:sqref>
        </x14:dataValidation>
        <x14:dataValidation type="list" allowBlank="1" showInputMessage="1" showErrorMessage="1" xr:uid="{41CD96D9-86E1-4682-B628-03D7EBCE2DD2}">
          <x14:formula1>
            <xm:f>Tabellen!$A$85:$A$97</xm:f>
          </x14:formula1>
          <xm:sqref>R37 T37</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D0D94-59E0-40F4-BFEC-84FF30A80F52}">
  <sheetPr codeName="Blad14">
    <pageSetUpPr fitToPage="1"/>
  </sheetPr>
  <dimension ref="A1:U95"/>
  <sheetViews>
    <sheetView showGridLines="0" zoomScale="90" zoomScaleNormal="90" workbookViewId="0">
      <selection activeCell="B3" sqref="B3"/>
    </sheetView>
  </sheetViews>
  <sheetFormatPr defaultColWidth="9.140625" defaultRowHeight="12" x14ac:dyDescent="0.2"/>
  <cols>
    <col min="1" max="1" width="49.7109375" style="202" bestFit="1" customWidth="1"/>
    <col min="2" max="2" width="18.28515625" style="202" customWidth="1"/>
    <col min="3" max="3" width="6.28515625" style="202" bestFit="1" customWidth="1"/>
    <col min="4" max="4" width="18.28515625" style="202" customWidth="1"/>
    <col min="5" max="5" width="6.28515625" style="202" bestFit="1" customWidth="1"/>
    <col min="6" max="6" width="18.28515625" style="202" customWidth="1"/>
    <col min="7" max="7" width="6.28515625" style="202" bestFit="1" customWidth="1"/>
    <col min="8" max="8" width="18.28515625" style="202" customWidth="1"/>
    <col min="9" max="9" width="6.28515625" style="202" bestFit="1" customWidth="1"/>
    <col min="10" max="10" width="18.28515625" style="202" customWidth="1"/>
    <col min="11" max="11" width="6.28515625" style="202" bestFit="1" customWidth="1"/>
    <col min="12" max="12" width="18.28515625" style="202" customWidth="1"/>
    <col min="13" max="13" width="6.28515625" style="202" bestFit="1" customWidth="1"/>
    <col min="14" max="14" width="18.28515625" style="202" customWidth="1"/>
    <col min="15" max="15" width="6.28515625" style="202" bestFit="1" customWidth="1"/>
    <col min="16" max="16" width="18.28515625" style="202" customWidth="1"/>
    <col min="17" max="17" width="6.28515625" style="202" bestFit="1" customWidth="1"/>
    <col min="18" max="18" width="18.28515625" style="202" customWidth="1"/>
    <col min="19" max="19" width="6.28515625" style="202" bestFit="1" customWidth="1"/>
    <col min="20" max="20" width="18.28515625" style="194" customWidth="1"/>
    <col min="21" max="21" width="6.7109375" style="194" bestFit="1" customWidth="1"/>
    <col min="22" max="16384" width="9.140625" style="194"/>
  </cols>
  <sheetData>
    <row r="1" spans="1:21" s="192" customFormat="1" ht="24" customHeight="1" x14ac:dyDescent="0.2">
      <c r="A1" s="251" t="s">
        <v>279</v>
      </c>
      <c r="B1" s="251"/>
      <c r="C1" s="251"/>
      <c r="D1" s="251"/>
      <c r="E1" s="251"/>
      <c r="F1" s="251"/>
      <c r="G1" s="251"/>
      <c r="H1" s="251"/>
      <c r="I1" s="251"/>
      <c r="J1" s="251"/>
      <c r="K1" s="251"/>
      <c r="L1" s="251"/>
      <c r="M1" s="251"/>
      <c r="N1" s="251"/>
      <c r="O1" s="251"/>
      <c r="P1" s="251"/>
      <c r="Q1" s="251"/>
      <c r="R1" s="251"/>
      <c r="S1" s="251"/>
      <c r="T1" s="251"/>
      <c r="U1" s="251"/>
    </row>
    <row r="2" spans="1:21" s="193" customFormat="1" ht="12" customHeight="1" x14ac:dyDescent="0.2">
      <c r="A2" s="65"/>
      <c r="B2" s="75"/>
      <c r="C2" s="75"/>
      <c r="D2" s="75"/>
      <c r="E2" s="75"/>
      <c r="F2" s="75"/>
      <c r="G2" s="75"/>
      <c r="H2" s="75"/>
      <c r="I2" s="75"/>
      <c r="J2" s="75"/>
      <c r="K2" s="75"/>
      <c r="L2" s="75"/>
      <c r="M2" s="75"/>
      <c r="N2" s="75"/>
      <c r="O2" s="75"/>
      <c r="P2" s="75"/>
      <c r="Q2" s="75"/>
      <c r="R2" s="35"/>
      <c r="S2" s="35"/>
      <c r="T2" s="35"/>
      <c r="U2" s="35"/>
    </row>
    <row r="3" spans="1:21" ht="12" customHeight="1" x14ac:dyDescent="0.2">
      <c r="A3" s="36" t="s">
        <v>107</v>
      </c>
      <c r="B3" s="221"/>
      <c r="C3" s="75"/>
      <c r="D3" s="75"/>
      <c r="E3" s="75"/>
      <c r="F3" s="35"/>
      <c r="G3" s="75"/>
      <c r="H3" s="75"/>
      <c r="I3" s="75"/>
      <c r="J3" s="75"/>
      <c r="K3" s="75"/>
      <c r="L3" s="75"/>
      <c r="M3" s="75"/>
      <c r="N3" s="75"/>
      <c r="O3" s="75"/>
      <c r="P3" s="75"/>
      <c r="Q3" s="75"/>
      <c r="R3" s="35"/>
      <c r="S3" s="35"/>
      <c r="T3" s="35"/>
      <c r="U3" s="35"/>
    </row>
    <row r="4" spans="1:21" ht="12" customHeight="1" x14ac:dyDescent="0.2">
      <c r="A4" s="36" t="s">
        <v>191</v>
      </c>
      <c r="B4" s="33" t="s">
        <v>195</v>
      </c>
      <c r="C4" s="75"/>
      <c r="D4" s="75"/>
      <c r="E4" s="75"/>
      <c r="F4" s="35"/>
      <c r="G4" s="75"/>
      <c r="H4" s="75"/>
      <c r="I4" s="75"/>
      <c r="J4" s="75"/>
      <c r="K4" s="75"/>
      <c r="L4" s="75"/>
      <c r="M4" s="75"/>
      <c r="N4" s="75"/>
      <c r="O4" s="75"/>
      <c r="P4" s="75"/>
      <c r="Q4" s="75"/>
      <c r="R4" s="35"/>
      <c r="S4" s="35"/>
      <c r="T4" s="35"/>
      <c r="U4" s="35"/>
    </row>
    <row r="5" spans="1:21" ht="12" customHeight="1" x14ac:dyDescent="0.25">
      <c r="A5" s="39" t="s">
        <v>180</v>
      </c>
      <c r="B5" s="34">
        <v>0</v>
      </c>
      <c r="C5" s="36" t="s">
        <v>0</v>
      </c>
      <c r="D5" s="75"/>
      <c r="E5" s="75"/>
      <c r="F5" s="35"/>
      <c r="G5" s="75"/>
      <c r="H5" s="75"/>
      <c r="I5" s="75"/>
      <c r="J5" s="75"/>
      <c r="K5" s="75"/>
      <c r="L5" s="75"/>
      <c r="M5" s="75"/>
      <c r="N5" s="75"/>
      <c r="O5" s="75"/>
      <c r="P5" s="75"/>
      <c r="Q5" s="75"/>
      <c r="R5" s="35"/>
      <c r="S5" s="35"/>
      <c r="T5" s="35"/>
      <c r="U5" s="35"/>
    </row>
    <row r="6" spans="1:21" s="195" customFormat="1" ht="12" customHeight="1" x14ac:dyDescent="0.2">
      <c r="A6" s="75"/>
      <c r="B6" s="75"/>
      <c r="C6" s="75"/>
      <c r="D6" s="75"/>
      <c r="E6" s="75"/>
      <c r="F6" s="75"/>
      <c r="G6" s="75"/>
      <c r="H6" s="75"/>
      <c r="I6" s="75"/>
      <c r="J6" s="75"/>
      <c r="K6" s="75"/>
      <c r="L6" s="75"/>
      <c r="M6" s="75"/>
      <c r="N6" s="75"/>
      <c r="O6" s="75"/>
      <c r="P6" s="75"/>
      <c r="Q6" s="75"/>
      <c r="R6" s="75"/>
      <c r="S6" s="35"/>
      <c r="T6" s="35"/>
      <c r="U6" s="35"/>
    </row>
    <row r="7" spans="1:21" s="193" customFormat="1" ht="12" customHeight="1" x14ac:dyDescent="0.2">
      <c r="A7" s="65"/>
      <c r="B7" s="237" t="s">
        <v>181</v>
      </c>
      <c r="C7" s="237"/>
      <c r="D7" s="237"/>
      <c r="E7" s="76"/>
      <c r="F7" s="238" t="s">
        <v>182</v>
      </c>
      <c r="G7" s="237"/>
      <c r="H7" s="237"/>
      <c r="I7" s="76"/>
      <c r="J7" s="237" t="s">
        <v>183</v>
      </c>
      <c r="K7" s="237"/>
      <c r="L7" s="237"/>
      <c r="M7" s="76"/>
      <c r="N7" s="237" t="s">
        <v>184</v>
      </c>
      <c r="O7" s="237"/>
      <c r="P7" s="237"/>
      <c r="Q7" s="76"/>
      <c r="R7" s="238" t="s">
        <v>5</v>
      </c>
      <c r="S7" s="238"/>
      <c r="T7" s="238"/>
      <c r="U7" s="238"/>
    </row>
    <row r="8" spans="1:21" s="195" customFormat="1" ht="12" customHeight="1" x14ac:dyDescent="0.2">
      <c r="A8" s="72" t="s">
        <v>129</v>
      </c>
      <c r="B8" s="77">
        <f>'Projectgegevens en Resultaten'!$B$17</f>
        <v>0</v>
      </c>
      <c r="C8" s="183"/>
      <c r="D8" s="183"/>
      <c r="E8" s="183"/>
      <c r="F8" s="184" t="str">
        <f>o_Orientatie(F9)</f>
        <v>Oost</v>
      </c>
      <c r="G8" s="183"/>
      <c r="H8" s="183"/>
      <c r="I8" s="183"/>
      <c r="J8" s="184" t="str">
        <f>o_Orientatie(J9)</f>
        <v>Zuid</v>
      </c>
      <c r="K8" s="185"/>
      <c r="L8" s="185"/>
      <c r="M8" s="185"/>
      <c r="N8" s="184" t="str">
        <f>o_Orientatie(N9)</f>
        <v>West</v>
      </c>
      <c r="O8" s="185"/>
      <c r="P8" s="185"/>
      <c r="Q8" s="185"/>
      <c r="R8" s="186" t="s">
        <v>62</v>
      </c>
      <c r="S8" s="79"/>
      <c r="T8" s="78"/>
      <c r="U8" s="78"/>
    </row>
    <row r="9" spans="1:21" ht="12" hidden="1" customHeight="1" x14ac:dyDescent="0.2">
      <c r="A9" s="70" t="s">
        <v>132</v>
      </c>
      <c r="B9" s="80" cm="1">
        <f t="array" ref="B9">o_OrientatiehOEK(B8)</f>
        <v>0</v>
      </c>
      <c r="C9" s="187"/>
      <c r="D9" s="187"/>
      <c r="E9" s="187"/>
      <c r="F9" s="80">
        <f>IF(B9+90&gt;360,B9+90-360,B9+90)</f>
        <v>90</v>
      </c>
      <c r="G9" s="188"/>
      <c r="H9" s="188"/>
      <c r="I9" s="188"/>
      <c r="J9" s="80">
        <f>IF(F9+90&gt;360,F9+90-360,F9+90)</f>
        <v>180</v>
      </c>
      <c r="K9" s="185"/>
      <c r="L9" s="185"/>
      <c r="M9" s="185"/>
      <c r="N9" s="80">
        <f>IF(J9+90&gt;360,J9+90-360,J9+90)</f>
        <v>270</v>
      </c>
      <c r="O9" s="185"/>
      <c r="P9" s="185"/>
      <c r="Q9" s="185"/>
      <c r="R9" s="188"/>
      <c r="S9" s="79"/>
      <c r="T9" s="104"/>
      <c r="U9" s="104"/>
    </row>
    <row r="10" spans="1:21" s="195" customFormat="1" x14ac:dyDescent="0.2">
      <c r="A10" s="70" t="s">
        <v>102</v>
      </c>
      <c r="B10" s="44" t="s">
        <v>101</v>
      </c>
      <c r="C10" s="187"/>
      <c r="D10" s="187"/>
      <c r="E10" s="187"/>
      <c r="F10" s="44" t="s">
        <v>101</v>
      </c>
      <c r="G10" s="187"/>
      <c r="H10" s="187"/>
      <c r="I10" s="187"/>
      <c r="J10" s="44" t="s">
        <v>101</v>
      </c>
      <c r="K10" s="189"/>
      <c r="L10" s="189"/>
      <c r="M10" s="189"/>
      <c r="N10" s="44" t="s">
        <v>101</v>
      </c>
      <c r="O10" s="189"/>
      <c r="P10" s="189"/>
      <c r="Q10" s="189"/>
      <c r="R10" s="44" t="s">
        <v>101</v>
      </c>
      <c r="S10" s="82"/>
      <c r="T10" s="81"/>
      <c r="U10" s="81"/>
    </row>
    <row r="11" spans="1:21" s="195" customFormat="1" ht="12" customHeight="1" x14ac:dyDescent="0.2">
      <c r="A11" s="70" t="s">
        <v>133</v>
      </c>
      <c r="B11" s="210">
        <v>90</v>
      </c>
      <c r="C11" s="214" t="s">
        <v>103</v>
      </c>
      <c r="D11" s="210"/>
      <c r="E11" s="219"/>
      <c r="F11" s="210">
        <v>90</v>
      </c>
      <c r="G11" s="214" t="s">
        <v>103</v>
      </c>
      <c r="H11" s="210"/>
      <c r="I11" s="214"/>
      <c r="J11" s="210">
        <v>90</v>
      </c>
      <c r="K11" s="214" t="s">
        <v>103</v>
      </c>
      <c r="L11" s="210"/>
      <c r="M11" s="214"/>
      <c r="N11" s="210">
        <v>90</v>
      </c>
      <c r="O11" s="214" t="s">
        <v>103</v>
      </c>
      <c r="P11" s="210"/>
      <c r="Q11" s="210"/>
      <c r="R11" s="211">
        <v>0</v>
      </c>
      <c r="S11" s="214" t="s">
        <v>103</v>
      </c>
      <c r="T11" s="210"/>
      <c r="U11" s="214"/>
    </row>
    <row r="12" spans="1:21" s="195" customFormat="1" ht="12" customHeight="1" x14ac:dyDescent="0.2">
      <c r="A12" s="70" t="s">
        <v>130</v>
      </c>
      <c r="B12" s="211" t="str" cm="1">
        <f t="array" ref="B12">o_TypeConstructie(B10,B11)</f>
        <v>Woningscheidend</v>
      </c>
      <c r="C12" s="211"/>
      <c r="D12" s="211"/>
      <c r="E12" s="209"/>
      <c r="F12" s="211" t="str" cm="1">
        <f t="array" ref="F12">o_TypeConstructie(F10,F11)</f>
        <v>Woningscheidend</v>
      </c>
      <c r="G12" s="209"/>
      <c r="H12" s="211"/>
      <c r="I12" s="209"/>
      <c r="J12" s="211" t="str" cm="1">
        <f t="array" ref="J12">o_TypeConstructie(J10,J11)</f>
        <v>Woningscheidend</v>
      </c>
      <c r="K12" s="209"/>
      <c r="L12" s="211"/>
      <c r="M12" s="209"/>
      <c r="N12" s="211" t="str" cm="1">
        <f t="array" ref="N12">o_TypeConstructie(N10,N11)</f>
        <v>Woningscheidend</v>
      </c>
      <c r="O12" s="209"/>
      <c r="P12" s="211"/>
      <c r="Q12" s="211"/>
      <c r="R12" s="211" t="str" cm="1">
        <f t="array" ref="R12">o_TypeConstructie(R10,R11)</f>
        <v>Woningscheidend</v>
      </c>
      <c r="S12" s="207"/>
      <c r="T12" s="210"/>
      <c r="U12" s="214"/>
    </row>
    <row r="13" spans="1:21" s="195" customFormat="1" ht="12" customHeight="1" x14ac:dyDescent="0.2">
      <c r="A13" s="70" t="s">
        <v>127</v>
      </c>
      <c r="B13" s="207"/>
      <c r="C13" s="207" t="s">
        <v>1</v>
      </c>
      <c r="D13" s="207"/>
      <c r="E13" s="208"/>
      <c r="F13" s="207"/>
      <c r="G13" s="207" t="s">
        <v>1</v>
      </c>
      <c r="H13" s="207"/>
      <c r="I13" s="208"/>
      <c r="J13" s="207"/>
      <c r="K13" s="207" t="s">
        <v>1</v>
      </c>
      <c r="L13" s="207"/>
      <c r="M13" s="208"/>
      <c r="N13" s="207"/>
      <c r="O13" s="207" t="s">
        <v>1</v>
      </c>
      <c r="P13" s="207"/>
      <c r="Q13" s="208"/>
      <c r="R13" s="207"/>
      <c r="S13" s="207" t="s">
        <v>1</v>
      </c>
      <c r="T13" s="208"/>
      <c r="U13" s="208"/>
    </row>
    <row r="14" spans="1:21" s="195" customFormat="1" ht="12" customHeight="1" x14ac:dyDescent="0.2">
      <c r="A14" s="83" t="s">
        <v>128</v>
      </c>
      <c r="B14" s="207"/>
      <c r="C14" s="207" t="s">
        <v>1</v>
      </c>
      <c r="D14" s="207"/>
      <c r="E14" s="208"/>
      <c r="F14" s="207"/>
      <c r="G14" s="207" t="s">
        <v>1</v>
      </c>
      <c r="H14" s="207"/>
      <c r="I14" s="208"/>
      <c r="J14" s="207"/>
      <c r="K14" s="207" t="s">
        <v>1</v>
      </c>
      <c r="L14" s="207"/>
      <c r="M14" s="208"/>
      <c r="N14" s="207"/>
      <c r="O14" s="207" t="s">
        <v>1</v>
      </c>
      <c r="P14" s="207"/>
      <c r="Q14" s="208"/>
      <c r="R14" s="207"/>
      <c r="S14" s="207" t="s">
        <v>1</v>
      </c>
      <c r="T14" s="208"/>
      <c r="U14" s="208"/>
    </row>
    <row r="15" spans="1:21" s="195" customFormat="1" ht="12" customHeight="1" x14ac:dyDescent="0.2">
      <c r="A15" s="36" t="s">
        <v>104</v>
      </c>
      <c r="B15" s="208">
        <f>B13*B14</f>
        <v>0</v>
      </c>
      <c r="C15" s="208" t="s">
        <v>0</v>
      </c>
      <c r="D15" s="208"/>
      <c r="E15" s="208"/>
      <c r="F15" s="208">
        <f>F13*F14</f>
        <v>0</v>
      </c>
      <c r="G15" s="208" t="s">
        <v>0</v>
      </c>
      <c r="H15" s="208"/>
      <c r="I15" s="208"/>
      <c r="J15" s="208">
        <f>J13*J14</f>
        <v>0</v>
      </c>
      <c r="K15" s="208" t="s">
        <v>0</v>
      </c>
      <c r="L15" s="208"/>
      <c r="M15" s="208"/>
      <c r="N15" s="208">
        <f>N13*N14</f>
        <v>0</v>
      </c>
      <c r="O15" s="208" t="s">
        <v>0</v>
      </c>
      <c r="P15" s="208"/>
      <c r="Q15" s="208"/>
      <c r="R15" s="208">
        <f>R13*R14</f>
        <v>0</v>
      </c>
      <c r="S15" s="207" t="s">
        <v>0</v>
      </c>
      <c r="T15" s="208"/>
      <c r="U15" s="208"/>
    </row>
    <row r="16" spans="1:21" s="195" customFormat="1" ht="12" customHeight="1" x14ac:dyDescent="0.2">
      <c r="A16" s="36" t="s">
        <v>105</v>
      </c>
      <c r="B16" s="208">
        <f>MAX(0,B15-B18-D18)</f>
        <v>0</v>
      </c>
      <c r="C16" s="208" t="s">
        <v>0</v>
      </c>
      <c r="D16" s="208"/>
      <c r="E16" s="208"/>
      <c r="F16" s="208">
        <f>MAX(0,F15-F18-H18)</f>
        <v>0</v>
      </c>
      <c r="G16" s="208" t="s">
        <v>0</v>
      </c>
      <c r="H16" s="208"/>
      <c r="I16" s="208"/>
      <c r="J16" s="208">
        <f>MAX(0,J15-J18-L18)</f>
        <v>0</v>
      </c>
      <c r="K16" s="208" t="s">
        <v>0</v>
      </c>
      <c r="L16" s="208"/>
      <c r="M16" s="208"/>
      <c r="N16" s="208">
        <f>MAX(0,N15-N18-P18)</f>
        <v>0</v>
      </c>
      <c r="O16" s="208" t="s">
        <v>0</v>
      </c>
      <c r="P16" s="210"/>
      <c r="Q16" s="210"/>
      <c r="R16" s="208">
        <f>MAX(0,R15-R18-T18)</f>
        <v>0</v>
      </c>
      <c r="S16" s="207" t="s">
        <v>0</v>
      </c>
      <c r="T16" s="208"/>
      <c r="U16" s="208"/>
    </row>
    <row r="17" spans="1:21" s="195" customFormat="1" ht="12" customHeight="1" x14ac:dyDescent="0.2">
      <c r="A17" s="75"/>
      <c r="B17" s="215" t="s">
        <v>123</v>
      </c>
      <c r="C17" s="84"/>
      <c r="D17" s="215" t="s">
        <v>124</v>
      </c>
      <c r="E17" s="84"/>
      <c r="F17" s="215" t="s">
        <v>123</v>
      </c>
      <c r="G17" s="84"/>
      <c r="H17" s="215" t="s">
        <v>124</v>
      </c>
      <c r="I17" s="84"/>
      <c r="J17" s="215" t="s">
        <v>123</v>
      </c>
      <c r="K17" s="84"/>
      <c r="L17" s="215" t="s">
        <v>124</v>
      </c>
      <c r="M17" s="84"/>
      <c r="N17" s="215" t="s">
        <v>123</v>
      </c>
      <c r="O17" s="84"/>
      <c r="P17" s="215" t="s">
        <v>124</v>
      </c>
      <c r="Q17" s="84"/>
      <c r="R17" s="215" t="s">
        <v>123</v>
      </c>
      <c r="S17" s="84"/>
      <c r="T17" s="215" t="s">
        <v>124</v>
      </c>
      <c r="U17" s="84"/>
    </row>
    <row r="18" spans="1:21" s="195" customFormat="1" ht="12" customHeight="1" x14ac:dyDescent="0.25">
      <c r="A18" s="36" t="s">
        <v>218</v>
      </c>
      <c r="B18" s="209"/>
      <c r="C18" s="208" t="s">
        <v>0</v>
      </c>
      <c r="D18" s="210"/>
      <c r="E18" s="208" t="s">
        <v>0</v>
      </c>
      <c r="F18" s="210"/>
      <c r="G18" s="208" t="s">
        <v>0</v>
      </c>
      <c r="H18" s="210"/>
      <c r="I18" s="208" t="s">
        <v>0</v>
      </c>
      <c r="J18" s="210"/>
      <c r="K18" s="208" t="s">
        <v>0</v>
      </c>
      <c r="L18" s="210"/>
      <c r="M18" s="208" t="s">
        <v>0</v>
      </c>
      <c r="N18" s="210"/>
      <c r="O18" s="208" t="s">
        <v>0</v>
      </c>
      <c r="P18" s="210"/>
      <c r="Q18" s="208" t="s">
        <v>0</v>
      </c>
      <c r="R18" s="210"/>
      <c r="S18" s="208" t="s">
        <v>0</v>
      </c>
      <c r="T18" s="210"/>
      <c r="U18" s="208" t="s">
        <v>0</v>
      </c>
    </row>
    <row r="19" spans="1:21" s="195" customFormat="1" ht="12" customHeight="1" x14ac:dyDescent="0.25">
      <c r="A19" s="36" t="s">
        <v>134</v>
      </c>
      <c r="B19" s="209"/>
      <c r="C19" s="208" t="s">
        <v>98</v>
      </c>
      <c r="D19" s="210"/>
      <c r="E19" s="208" t="s">
        <v>98</v>
      </c>
      <c r="F19" s="210"/>
      <c r="G19" s="208" t="s">
        <v>98</v>
      </c>
      <c r="H19" s="210"/>
      <c r="I19" s="208" t="s">
        <v>98</v>
      </c>
      <c r="J19" s="210"/>
      <c r="K19" s="208" t="s">
        <v>98</v>
      </c>
      <c r="L19" s="210"/>
      <c r="M19" s="208" t="s">
        <v>98</v>
      </c>
      <c r="N19" s="210"/>
      <c r="O19" s="208" t="s">
        <v>98</v>
      </c>
      <c r="P19" s="210"/>
      <c r="Q19" s="208" t="s">
        <v>98</v>
      </c>
      <c r="R19" s="210"/>
      <c r="S19" s="208" t="s">
        <v>98</v>
      </c>
      <c r="T19" s="210"/>
      <c r="U19" s="208" t="s">
        <v>98</v>
      </c>
    </row>
    <row r="20" spans="1:21" s="195" customFormat="1" ht="12" customHeight="1" x14ac:dyDescent="0.2">
      <c r="A20" s="66" t="s">
        <v>221</v>
      </c>
      <c r="B20" s="209">
        <v>1</v>
      </c>
      <c r="C20" s="208"/>
      <c r="D20" s="210">
        <v>1</v>
      </c>
      <c r="E20" s="208"/>
      <c r="F20" s="210">
        <v>1</v>
      </c>
      <c r="G20" s="208"/>
      <c r="H20" s="210">
        <v>1</v>
      </c>
      <c r="I20" s="208"/>
      <c r="J20" s="210">
        <v>1</v>
      </c>
      <c r="K20" s="208"/>
      <c r="L20" s="210">
        <v>1</v>
      </c>
      <c r="M20" s="208"/>
      <c r="N20" s="210">
        <v>1</v>
      </c>
      <c r="O20" s="207"/>
      <c r="P20" s="210">
        <v>1</v>
      </c>
      <c r="Q20" s="208"/>
      <c r="R20" s="210">
        <v>1</v>
      </c>
      <c r="S20" s="207"/>
      <c r="T20" s="210">
        <v>1</v>
      </c>
      <c r="U20" s="208"/>
    </row>
    <row r="21" spans="1:21" s="195" customFormat="1" ht="12" customHeight="1" x14ac:dyDescent="0.2">
      <c r="A21" s="67" t="s">
        <v>219</v>
      </c>
      <c r="B21" s="220" t="s">
        <v>111</v>
      </c>
      <c r="C21" s="212"/>
      <c r="D21" s="220" t="s">
        <v>111</v>
      </c>
      <c r="E21" s="212"/>
      <c r="F21" s="220" t="s">
        <v>111</v>
      </c>
      <c r="G21" s="212"/>
      <c r="H21" s="220" t="s">
        <v>111</v>
      </c>
      <c r="I21" s="212"/>
      <c r="J21" s="220" t="s">
        <v>111</v>
      </c>
      <c r="K21" s="212"/>
      <c r="L21" s="220" t="s">
        <v>111</v>
      </c>
      <c r="M21" s="212"/>
      <c r="N21" s="220" t="s">
        <v>111</v>
      </c>
      <c r="O21" s="213"/>
      <c r="P21" s="220" t="s">
        <v>111</v>
      </c>
      <c r="Q21" s="212"/>
      <c r="R21" s="220" t="s">
        <v>111</v>
      </c>
      <c r="S21" s="213"/>
      <c r="T21" s="220" t="s">
        <v>111</v>
      </c>
      <c r="U21" s="208"/>
    </row>
    <row r="22" spans="1:21" s="195" customFormat="1" ht="68.25" customHeight="1" x14ac:dyDescent="0.2">
      <c r="A22" s="85"/>
      <c r="B22" s="208"/>
      <c r="C22" s="208"/>
      <c r="D22" s="208"/>
      <c r="E22" s="208"/>
      <c r="F22" s="208"/>
      <c r="G22" s="208"/>
      <c r="H22" s="208"/>
      <c r="I22" s="208"/>
      <c r="J22" s="208"/>
      <c r="K22" s="208"/>
      <c r="L22" s="208"/>
      <c r="M22" s="208"/>
      <c r="N22" s="208"/>
      <c r="O22" s="208"/>
      <c r="P22" s="208"/>
      <c r="Q22" s="208"/>
      <c r="R22" s="208"/>
      <c r="S22" s="207"/>
      <c r="T22" s="208"/>
      <c r="U22" s="208"/>
    </row>
    <row r="23" spans="1:21" s="195" customFormat="1" x14ac:dyDescent="0.2">
      <c r="A23" s="85"/>
      <c r="B23" s="215" t="s">
        <v>166</v>
      </c>
      <c r="C23" s="208"/>
      <c r="D23" s="215" t="s">
        <v>166</v>
      </c>
      <c r="E23" s="208"/>
      <c r="F23" s="215" t="s">
        <v>166</v>
      </c>
      <c r="G23" s="208"/>
      <c r="H23" s="215" t="s">
        <v>166</v>
      </c>
      <c r="I23" s="208"/>
      <c r="J23" s="215" t="s">
        <v>166</v>
      </c>
      <c r="K23" s="208"/>
      <c r="L23" s="215" t="s">
        <v>166</v>
      </c>
      <c r="M23" s="208"/>
      <c r="N23" s="215" t="s">
        <v>166</v>
      </c>
      <c r="O23" s="208"/>
      <c r="P23" s="215" t="s">
        <v>166</v>
      </c>
      <c r="Q23" s="208"/>
      <c r="R23" s="215"/>
      <c r="S23" s="208"/>
      <c r="T23" s="215"/>
      <c r="U23" s="208"/>
    </row>
    <row r="24" spans="1:21" s="195" customFormat="1" ht="12" customHeight="1" x14ac:dyDescent="0.2">
      <c r="A24" s="86" t="s">
        <v>120</v>
      </c>
      <c r="B24" s="216">
        <v>0</v>
      </c>
      <c r="C24" s="87" t="s">
        <v>1</v>
      </c>
      <c r="D24" s="216">
        <v>0</v>
      </c>
      <c r="E24" s="87" t="s">
        <v>1</v>
      </c>
      <c r="F24" s="216">
        <v>0</v>
      </c>
      <c r="G24" s="87" t="s">
        <v>1</v>
      </c>
      <c r="H24" s="216">
        <v>0</v>
      </c>
      <c r="I24" s="87" t="s">
        <v>1</v>
      </c>
      <c r="J24" s="216">
        <v>0</v>
      </c>
      <c r="K24" s="87" t="s">
        <v>1</v>
      </c>
      <c r="L24" s="216">
        <v>0</v>
      </c>
      <c r="M24" s="87" t="s">
        <v>1</v>
      </c>
      <c r="N24" s="216">
        <v>0</v>
      </c>
      <c r="O24" s="87" t="s">
        <v>1</v>
      </c>
      <c r="P24" s="216">
        <v>0</v>
      </c>
      <c r="Q24" s="87" t="s">
        <v>1</v>
      </c>
      <c r="R24" s="216">
        <v>0</v>
      </c>
      <c r="S24" s="87"/>
      <c r="T24" s="216">
        <v>0</v>
      </c>
      <c r="U24" s="87" t="s">
        <v>1</v>
      </c>
    </row>
    <row r="25" spans="1:21" s="195" customFormat="1" ht="12" customHeight="1" x14ac:dyDescent="0.2">
      <c r="A25" s="88" t="s">
        <v>121</v>
      </c>
      <c r="B25" s="216">
        <v>0</v>
      </c>
      <c r="C25" s="87" t="s">
        <v>1</v>
      </c>
      <c r="D25" s="216">
        <v>0</v>
      </c>
      <c r="E25" s="87" t="s">
        <v>1</v>
      </c>
      <c r="F25" s="216">
        <v>0</v>
      </c>
      <c r="G25" s="87" t="s">
        <v>1</v>
      </c>
      <c r="H25" s="216">
        <v>0</v>
      </c>
      <c r="I25" s="87" t="s">
        <v>1</v>
      </c>
      <c r="J25" s="216">
        <v>0</v>
      </c>
      <c r="K25" s="87" t="s">
        <v>1</v>
      </c>
      <c r="L25" s="216">
        <v>0</v>
      </c>
      <c r="M25" s="87" t="s">
        <v>1</v>
      </c>
      <c r="N25" s="216">
        <v>0</v>
      </c>
      <c r="O25" s="87" t="s">
        <v>1</v>
      </c>
      <c r="P25" s="216">
        <v>0</v>
      </c>
      <c r="Q25" s="87" t="s">
        <v>1</v>
      </c>
      <c r="R25" s="216">
        <v>0</v>
      </c>
      <c r="S25" s="87"/>
      <c r="T25" s="216">
        <v>0</v>
      </c>
      <c r="U25" s="87" t="s">
        <v>1</v>
      </c>
    </row>
    <row r="26" spans="1:21" s="195" customFormat="1" ht="12" customHeight="1" x14ac:dyDescent="0.2">
      <c r="A26" s="89" t="s">
        <v>163</v>
      </c>
      <c r="B26" s="217">
        <f>IFERROR(180/PI()*ATAN(B24/B25),0)</f>
        <v>0</v>
      </c>
      <c r="C26" s="90" t="s">
        <v>103</v>
      </c>
      <c r="D26" s="217">
        <f>IFERROR(180/PI()*ATAN(D24/D25),0)</f>
        <v>0</v>
      </c>
      <c r="E26" s="90" t="s">
        <v>103</v>
      </c>
      <c r="F26" s="217">
        <f>IFERROR(180/PI()*ATAN(F24/F25),0)</f>
        <v>0</v>
      </c>
      <c r="G26" s="90" t="s">
        <v>103</v>
      </c>
      <c r="H26" s="217">
        <f>IFERROR(180/PI()*ATAN(H24/H25),0)</f>
        <v>0</v>
      </c>
      <c r="I26" s="90" t="s">
        <v>103</v>
      </c>
      <c r="J26" s="217">
        <f>IFERROR(180/PI()*ATAN(J24/J25),0)</f>
        <v>0</v>
      </c>
      <c r="K26" s="90" t="s">
        <v>103</v>
      </c>
      <c r="L26" s="217">
        <f>IFERROR(180/PI()*ATAN(L24/L25),0)</f>
        <v>0</v>
      </c>
      <c r="M26" s="90" t="s">
        <v>103</v>
      </c>
      <c r="N26" s="217">
        <f>IFERROR(180/PI()*ATAN(N24/N25),0)</f>
        <v>0</v>
      </c>
      <c r="O26" s="90" t="s">
        <v>103</v>
      </c>
      <c r="P26" s="217">
        <f>IFERROR(180/PI()*ATAN(P24/P25),0)</f>
        <v>0</v>
      </c>
      <c r="Q26" s="90" t="s">
        <v>103</v>
      </c>
      <c r="R26" s="217"/>
      <c r="S26" s="90"/>
      <c r="T26" s="217"/>
      <c r="U26" s="90" t="s">
        <v>103</v>
      </c>
    </row>
    <row r="27" spans="1:21" s="195" customFormat="1" ht="12" customHeight="1" x14ac:dyDescent="0.2">
      <c r="A27" s="89" t="s">
        <v>119</v>
      </c>
      <c r="B27" s="216">
        <f>IFERROR(B24/B25,1)</f>
        <v>1</v>
      </c>
      <c r="C27" s="87"/>
      <c r="D27" s="216">
        <f>IFERROR(D24/D25,1)</f>
        <v>1</v>
      </c>
      <c r="E27" s="87"/>
      <c r="F27" s="216">
        <f>IFERROR(F24/F25,1)</f>
        <v>1</v>
      </c>
      <c r="G27" s="87"/>
      <c r="H27" s="216">
        <f>IFERROR(H24/H25,1)</f>
        <v>1</v>
      </c>
      <c r="I27" s="87"/>
      <c r="J27" s="216">
        <f>IFERROR(J24/J25,1)</f>
        <v>1</v>
      </c>
      <c r="K27" s="87"/>
      <c r="L27" s="216">
        <f>IFERROR(L24/L25,1)</f>
        <v>1</v>
      </c>
      <c r="M27" s="87"/>
      <c r="N27" s="216">
        <f>IFERROR(N24/N25,1)</f>
        <v>1</v>
      </c>
      <c r="O27" s="87"/>
      <c r="P27" s="216">
        <f>IFERROR(P24/P25,1)</f>
        <v>1</v>
      </c>
      <c r="Q27" s="87"/>
      <c r="R27" s="216"/>
      <c r="S27" s="87"/>
      <c r="T27" s="216"/>
      <c r="U27" s="87"/>
    </row>
    <row r="28" spans="1:21" s="195" customFormat="1" ht="101.25" customHeight="1" x14ac:dyDescent="0.2">
      <c r="A28" s="91"/>
      <c r="B28" s="208"/>
      <c r="C28" s="208"/>
      <c r="D28" s="208"/>
      <c r="E28" s="208"/>
      <c r="F28" s="208"/>
      <c r="G28" s="208"/>
      <c r="H28" s="208"/>
      <c r="I28" s="208"/>
      <c r="J28" s="208"/>
      <c r="K28" s="208"/>
      <c r="L28" s="208"/>
      <c r="M28" s="208"/>
      <c r="N28" s="208"/>
      <c r="O28" s="208"/>
      <c r="P28" s="208"/>
      <c r="Q28" s="208"/>
      <c r="R28" s="215"/>
      <c r="S28" s="215"/>
      <c r="T28" s="215"/>
      <c r="U28" s="208"/>
    </row>
    <row r="29" spans="1:21" s="195" customFormat="1" x14ac:dyDescent="0.2">
      <c r="A29" s="91"/>
      <c r="B29" s="215" t="s">
        <v>113</v>
      </c>
      <c r="C29" s="208"/>
      <c r="D29" s="215" t="s">
        <v>113</v>
      </c>
      <c r="E29" s="208"/>
      <c r="F29" s="215" t="s">
        <v>113</v>
      </c>
      <c r="G29" s="208"/>
      <c r="H29" s="215" t="s">
        <v>113</v>
      </c>
      <c r="I29" s="208"/>
      <c r="J29" s="215" t="s">
        <v>113</v>
      </c>
      <c r="K29" s="208"/>
      <c r="L29" s="215" t="s">
        <v>113</v>
      </c>
      <c r="M29" s="208"/>
      <c r="N29" s="215" t="s">
        <v>113</v>
      </c>
      <c r="O29" s="208"/>
      <c r="P29" s="215" t="s">
        <v>113</v>
      </c>
      <c r="Q29" s="208"/>
      <c r="R29" s="215"/>
      <c r="S29" s="215"/>
      <c r="T29" s="215"/>
      <c r="U29" s="208"/>
    </row>
    <row r="30" spans="1:21" s="195" customFormat="1" ht="12" customHeight="1" x14ac:dyDescent="0.2">
      <c r="A30" s="89" t="s">
        <v>158</v>
      </c>
      <c r="B30" s="216" t="s">
        <v>252</v>
      </c>
      <c r="C30" s="87"/>
      <c r="D30" s="216" t="s">
        <v>252</v>
      </c>
      <c r="E30" s="87"/>
      <c r="F30" s="216" t="s">
        <v>252</v>
      </c>
      <c r="G30" s="87"/>
      <c r="H30" s="216" t="s">
        <v>252</v>
      </c>
      <c r="I30" s="87"/>
      <c r="J30" s="216" t="s">
        <v>252</v>
      </c>
      <c r="K30" s="87"/>
      <c r="L30" s="216" t="s">
        <v>252</v>
      </c>
      <c r="M30" s="87"/>
      <c r="N30" s="216" t="s">
        <v>252</v>
      </c>
      <c r="O30" s="87"/>
      <c r="P30" s="216" t="s">
        <v>252</v>
      </c>
      <c r="Q30" s="87"/>
      <c r="R30" s="215" t="s">
        <v>252</v>
      </c>
      <c r="S30" s="215"/>
      <c r="T30" s="215" t="s">
        <v>252</v>
      </c>
      <c r="U30" s="87"/>
    </row>
    <row r="31" spans="1:21" s="195" customFormat="1" ht="12" customHeight="1" x14ac:dyDescent="0.2">
      <c r="A31" s="89" t="s">
        <v>155</v>
      </c>
      <c r="B31" s="216">
        <v>0</v>
      </c>
      <c r="C31" s="87" t="s">
        <v>1</v>
      </c>
      <c r="D31" s="216">
        <v>0</v>
      </c>
      <c r="E31" s="87" t="s">
        <v>1</v>
      </c>
      <c r="F31" s="216">
        <v>0</v>
      </c>
      <c r="G31" s="87" t="s">
        <v>1</v>
      </c>
      <c r="H31" s="216">
        <v>0</v>
      </c>
      <c r="I31" s="87" t="s">
        <v>1</v>
      </c>
      <c r="J31" s="216">
        <v>0</v>
      </c>
      <c r="K31" s="87" t="s">
        <v>1</v>
      </c>
      <c r="L31" s="216">
        <v>0</v>
      </c>
      <c r="M31" s="87" t="s">
        <v>1</v>
      </c>
      <c r="N31" s="216">
        <v>0</v>
      </c>
      <c r="O31" s="87" t="s">
        <v>1</v>
      </c>
      <c r="P31" s="216">
        <v>0</v>
      </c>
      <c r="Q31" s="87" t="s">
        <v>1</v>
      </c>
      <c r="R31" s="215">
        <v>0</v>
      </c>
      <c r="S31" s="215"/>
      <c r="T31" s="215">
        <v>0</v>
      </c>
      <c r="U31" s="87" t="s">
        <v>1</v>
      </c>
    </row>
    <row r="32" spans="1:21" s="195" customFormat="1" ht="12" customHeight="1" x14ac:dyDescent="0.2">
      <c r="A32" s="89" t="s">
        <v>156</v>
      </c>
      <c r="B32" s="216">
        <v>0</v>
      </c>
      <c r="C32" s="90" t="s">
        <v>1</v>
      </c>
      <c r="D32" s="216">
        <v>0</v>
      </c>
      <c r="E32" s="90" t="s">
        <v>1</v>
      </c>
      <c r="F32" s="216">
        <v>0</v>
      </c>
      <c r="G32" s="90" t="s">
        <v>1</v>
      </c>
      <c r="H32" s="216">
        <v>0</v>
      </c>
      <c r="I32" s="90" t="s">
        <v>1</v>
      </c>
      <c r="J32" s="216">
        <v>0</v>
      </c>
      <c r="K32" s="90" t="s">
        <v>1</v>
      </c>
      <c r="L32" s="216">
        <v>0</v>
      </c>
      <c r="M32" s="90" t="s">
        <v>1</v>
      </c>
      <c r="N32" s="216">
        <v>0</v>
      </c>
      <c r="O32" s="90" t="s">
        <v>1</v>
      </c>
      <c r="P32" s="216">
        <v>0</v>
      </c>
      <c r="Q32" s="90" t="s">
        <v>1</v>
      </c>
      <c r="R32" s="215">
        <v>0</v>
      </c>
      <c r="S32" s="215"/>
      <c r="T32" s="215">
        <v>0</v>
      </c>
      <c r="U32" s="87" t="s">
        <v>1</v>
      </c>
    </row>
    <row r="33" spans="1:21" s="195" customFormat="1" ht="12" customHeight="1" x14ac:dyDescent="0.25">
      <c r="A33" s="89" t="s">
        <v>157</v>
      </c>
      <c r="B33" s="216">
        <f>IFERROR(B31/B32,999)</f>
        <v>999</v>
      </c>
      <c r="C33" s="87"/>
      <c r="D33" s="216">
        <f>IFERROR(D31/D32,999)</f>
        <v>999</v>
      </c>
      <c r="E33" s="87"/>
      <c r="F33" s="216">
        <f>IFERROR(F31/F32,999)</f>
        <v>999</v>
      </c>
      <c r="G33" s="87"/>
      <c r="H33" s="216">
        <f>IFERROR(H31/H32,999)</f>
        <v>999</v>
      </c>
      <c r="I33" s="87"/>
      <c r="J33" s="216">
        <f>IFERROR(J31/J32,999)</f>
        <v>999</v>
      </c>
      <c r="K33" s="87"/>
      <c r="L33" s="216">
        <f>IFERROR(L31/L32,999)</f>
        <v>999</v>
      </c>
      <c r="M33" s="87"/>
      <c r="N33" s="216">
        <f>IFERROR(N31/N32,999)</f>
        <v>999</v>
      </c>
      <c r="O33" s="87"/>
      <c r="P33" s="216">
        <f>IFERROR(P31/P32,999)</f>
        <v>999</v>
      </c>
      <c r="Q33" s="87"/>
      <c r="R33" s="215"/>
      <c r="S33" s="215"/>
      <c r="T33" s="215"/>
      <c r="U33" s="87"/>
    </row>
    <row r="34" spans="1:21" s="195" customFormat="1" x14ac:dyDescent="0.2">
      <c r="A34" s="75"/>
      <c r="B34" s="84"/>
      <c r="C34" s="84"/>
      <c r="D34" s="84"/>
      <c r="E34" s="84"/>
      <c r="F34" s="84"/>
      <c r="G34" s="84"/>
      <c r="H34" s="84"/>
      <c r="I34" s="84"/>
      <c r="J34" s="84"/>
      <c r="K34" s="84"/>
      <c r="L34" s="84"/>
      <c r="M34" s="84"/>
      <c r="N34" s="84"/>
      <c r="O34" s="84"/>
      <c r="P34" s="84"/>
      <c r="Q34" s="84"/>
      <c r="R34" s="84"/>
      <c r="S34" s="84"/>
      <c r="T34" s="84"/>
      <c r="U34" s="84"/>
    </row>
    <row r="35" spans="1:21" s="195" customFormat="1" ht="12" customHeight="1" x14ac:dyDescent="0.25">
      <c r="A35" s="36" t="s">
        <v>135</v>
      </c>
      <c r="B35" s="216" cm="1">
        <f t="array" ref="B35">IFERROR(o_Beschaduwingreductie(B21,B8,B27,B30,B33,B11),1)</f>
        <v>1</v>
      </c>
      <c r="C35" s="208"/>
      <c r="D35" s="216" cm="1">
        <f t="array" ref="D35">IFERROR(o_Beschaduwingreductie(D21,B8,D27,D30,D33,B11),1)</f>
        <v>1</v>
      </c>
      <c r="E35" s="208"/>
      <c r="F35" s="216" cm="1">
        <f t="array" ref="F35">IFERROR(o_Beschaduwingreductie(F21,F8,F27,F30,F33,F11),1)</f>
        <v>1</v>
      </c>
      <c r="G35" s="208"/>
      <c r="H35" s="216" cm="1">
        <f t="array" ref="H35">IFERROR(o_Beschaduwingreductie(H21,F8,H27,H30,H33,F11),1)</f>
        <v>1</v>
      </c>
      <c r="I35" s="208"/>
      <c r="J35" s="216" cm="1">
        <f t="array" ref="J35">IFERROR(o_Beschaduwingreductie(J21,J8,J27,J30,J33,J11),1)</f>
        <v>1</v>
      </c>
      <c r="K35" s="208"/>
      <c r="L35" s="216" cm="1">
        <f t="array" ref="L35">IFERROR(o_Beschaduwingreductie(L21,J8,L27,L30,L33,J11),1)</f>
        <v>1</v>
      </c>
      <c r="M35" s="208"/>
      <c r="N35" s="216" cm="1">
        <f t="array" ref="N35">IFERROR(o_Beschaduwingreductie(N21,N8,N27,N30,N33,N11),1)</f>
        <v>1</v>
      </c>
      <c r="O35" s="208"/>
      <c r="P35" s="216" cm="1">
        <f t="array" ref="P35">IFERROR(o_Beschaduwingreductie(P21,N8,P27,P30,P33,N11),1)</f>
        <v>1</v>
      </c>
      <c r="Q35" s="208"/>
      <c r="R35" s="159" cm="1">
        <f t="array" ref="R35">o_Beschaduwingreductie(R21,R8,R27,R30,R33,R11)</f>
        <v>1</v>
      </c>
      <c r="S35" s="207"/>
      <c r="T35" s="216" cm="1">
        <f t="array" ref="T35">o_Beschaduwingreductie(T21,R8,T27,T30,T33,R11)</f>
        <v>1</v>
      </c>
      <c r="U35" s="208"/>
    </row>
    <row r="36" spans="1:21" s="195" customFormat="1" x14ac:dyDescent="0.2">
      <c r="A36" s="75"/>
      <c r="B36" s="84"/>
      <c r="C36" s="84"/>
      <c r="D36" s="84"/>
      <c r="E36" s="84"/>
      <c r="F36" s="84"/>
      <c r="G36" s="84"/>
      <c r="H36" s="84"/>
      <c r="I36" s="84"/>
      <c r="J36" s="84"/>
      <c r="K36" s="84"/>
      <c r="L36" s="84"/>
      <c r="M36" s="84"/>
      <c r="N36" s="84"/>
      <c r="O36" s="84"/>
      <c r="P36" s="84"/>
      <c r="Q36" s="84"/>
      <c r="R36" s="84"/>
      <c r="S36" s="84"/>
      <c r="T36" s="84"/>
      <c r="U36" s="84"/>
    </row>
    <row r="37" spans="1:21" s="195" customFormat="1" ht="12" customHeight="1" x14ac:dyDescent="0.2">
      <c r="A37" s="36" t="s">
        <v>82</v>
      </c>
      <c r="B37" s="220" t="s">
        <v>84</v>
      </c>
      <c r="C37" s="218"/>
      <c r="D37" s="220" t="s">
        <v>84</v>
      </c>
      <c r="E37" s="212"/>
      <c r="F37" s="220" t="s">
        <v>84</v>
      </c>
      <c r="G37" s="218"/>
      <c r="H37" s="220" t="s">
        <v>84</v>
      </c>
      <c r="I37" s="212"/>
      <c r="J37" s="220" t="s">
        <v>84</v>
      </c>
      <c r="K37" s="218"/>
      <c r="L37" s="220" t="s">
        <v>84</v>
      </c>
      <c r="M37" s="212"/>
      <c r="N37" s="220" t="s">
        <v>84</v>
      </c>
      <c r="O37" s="218"/>
      <c r="P37" s="220" t="s">
        <v>84</v>
      </c>
      <c r="Q37" s="212"/>
      <c r="R37" s="220" t="s">
        <v>84</v>
      </c>
      <c r="S37" s="218"/>
      <c r="T37" s="220" t="s">
        <v>84</v>
      </c>
      <c r="U37" s="208"/>
    </row>
    <row r="38" spans="1:21" s="195" customFormat="1" ht="12" customHeight="1" x14ac:dyDescent="0.25">
      <c r="A38" s="36" t="s">
        <v>136</v>
      </c>
      <c r="B38" s="159" cm="1">
        <f t="array" ref="B38">o_Zonweringreductie(B37,B8)</f>
        <v>1</v>
      </c>
      <c r="C38" s="208"/>
      <c r="D38" s="159" cm="1">
        <f t="array" ref="D38">o_Zonweringreductie(D37,B8)</f>
        <v>1</v>
      </c>
      <c r="E38" s="208"/>
      <c r="F38" s="159" cm="1">
        <f t="array" ref="F38">o_Zonweringreductie(F37,F8)</f>
        <v>1</v>
      </c>
      <c r="G38" s="208"/>
      <c r="H38" s="159" cm="1">
        <f t="array" ref="H38">o_Zonweringreductie(H37,F8)</f>
        <v>1</v>
      </c>
      <c r="I38" s="208"/>
      <c r="J38" s="159" cm="1">
        <f t="array" ref="J38">o_Zonweringreductie(J37,J8)</f>
        <v>1</v>
      </c>
      <c r="K38" s="208"/>
      <c r="L38" s="159" cm="1">
        <f t="array" ref="L38">o_Zonweringreductie(L37,J8)</f>
        <v>1</v>
      </c>
      <c r="M38" s="208"/>
      <c r="N38" s="159" cm="1">
        <f t="array" ref="N38">o_Zonweringreductie(N37,N8)</f>
        <v>1</v>
      </c>
      <c r="O38" s="208"/>
      <c r="P38" s="159" cm="1">
        <f t="array" ref="P38">o_Zonweringreductie(P37,N8)</f>
        <v>1</v>
      </c>
      <c r="Q38" s="208"/>
      <c r="R38" s="159" cm="1">
        <f t="array" ref="R38">o_Zonweringreductie(R37,R8)</f>
        <v>1</v>
      </c>
      <c r="S38" s="208"/>
      <c r="T38" s="159" cm="1">
        <f t="array" ref="T38">o_Zonweringreductie(T37,R8)</f>
        <v>1</v>
      </c>
      <c r="U38" s="208"/>
    </row>
    <row r="39" spans="1:21" s="195" customFormat="1" ht="12" customHeight="1" x14ac:dyDescent="0.25">
      <c r="A39" s="36" t="s">
        <v>137</v>
      </c>
      <c r="B39" s="159" cm="1">
        <f t="array" ref="B39">IF(B10="Nee",0,o_Isol_Bij_Tijdstip($B$52,B8,B11))</f>
        <v>0</v>
      </c>
      <c r="C39" s="208" t="s">
        <v>12</v>
      </c>
      <c r="D39" s="159" cm="1">
        <f t="array" ref="D39">IF(B10="Nee",0,o_Isol_Bij_Tijdstip($B$52,B8,B11))</f>
        <v>0</v>
      </c>
      <c r="E39" s="208" t="s">
        <v>12</v>
      </c>
      <c r="F39" s="159" cm="1">
        <f t="array" ref="F39">IF(F10="Nee",0,o_Isol_Bij_Tijdstip($B$52,F8,F11))</f>
        <v>0</v>
      </c>
      <c r="G39" s="208" t="s">
        <v>12</v>
      </c>
      <c r="H39" s="159" cm="1">
        <f t="array" ref="H39">IF(F10="Nee",0,o_Isol_Bij_Tijdstip($B$52,F8,F11))</f>
        <v>0</v>
      </c>
      <c r="I39" s="208" t="s">
        <v>12</v>
      </c>
      <c r="J39" s="159" cm="1">
        <f t="array" ref="J39">IF(J10="Nee",0,o_Isol_Bij_Tijdstip($B$52,J8,J11))</f>
        <v>0</v>
      </c>
      <c r="K39" s="208" t="s">
        <v>12</v>
      </c>
      <c r="L39" s="159" cm="1">
        <f t="array" ref="L39">IF(J10="Nee",0,o_Isol_Bij_Tijdstip($B$52,J8,J11))</f>
        <v>0</v>
      </c>
      <c r="M39" s="208" t="s">
        <v>12</v>
      </c>
      <c r="N39" s="159" cm="1">
        <f t="array" ref="N39">IF(N10="Nee",0,o_Isol_Bij_Tijdstip($B$52,N8,N11))</f>
        <v>0</v>
      </c>
      <c r="O39" s="208" t="s">
        <v>12</v>
      </c>
      <c r="P39" s="159" cm="1">
        <f t="array" ref="P39">IF(N10="Nee",0,o_Isol_Bij_Tijdstip($B$52,N8,N11))</f>
        <v>0</v>
      </c>
      <c r="Q39" s="208" t="s">
        <v>12</v>
      </c>
      <c r="R39" s="159" cm="1">
        <f t="array" ref="R39">IF(R10="Nee",0,o_Isol_Bij_Tijdstip($B$52,R8,R11))</f>
        <v>0</v>
      </c>
      <c r="S39" s="208" t="s">
        <v>12</v>
      </c>
      <c r="T39" s="159" cm="1">
        <f t="array" ref="T39">IF(R10="Nee",0,o_Isol_Bij_Tijdstip($B$52,R8,R11))</f>
        <v>0</v>
      </c>
      <c r="U39" s="208" t="s">
        <v>12</v>
      </c>
    </row>
    <row r="40" spans="1:21" s="195" customFormat="1" x14ac:dyDescent="0.2">
      <c r="A40" s="75"/>
      <c r="B40" s="84"/>
      <c r="C40" s="84"/>
      <c r="D40" s="84"/>
      <c r="E40" s="84"/>
      <c r="F40" s="84"/>
      <c r="G40" s="84"/>
      <c r="H40" s="84"/>
      <c r="I40" s="84"/>
      <c r="J40" s="84"/>
      <c r="K40" s="84"/>
      <c r="L40" s="84"/>
      <c r="M40" s="84"/>
      <c r="N40" s="84"/>
      <c r="O40" s="84"/>
      <c r="P40" s="84"/>
      <c r="Q40" s="84"/>
      <c r="R40" s="84"/>
      <c r="S40" s="84"/>
      <c r="T40" s="84"/>
      <c r="U40" s="84"/>
    </row>
    <row r="41" spans="1:21" s="195" customFormat="1" ht="12" customHeight="1" x14ac:dyDescent="0.25">
      <c r="A41" s="66" t="s">
        <v>138</v>
      </c>
      <c r="B41" s="239" t="e" cm="1">
        <f t="array" ref="B41">VALUE(o_Tijdstip_Isol_Max_Orientatie(B8,B11))</f>
        <v>#VALUE!</v>
      </c>
      <c r="C41" s="239"/>
      <c r="D41" s="240"/>
      <c r="E41" s="87"/>
      <c r="F41" s="239" cm="1">
        <f t="array" ref="F41">VALUE(o_Tijdstip_Isol_Max_Orientatie(F8,F11))</f>
        <v>0.375</v>
      </c>
      <c r="G41" s="239"/>
      <c r="H41" s="240"/>
      <c r="I41" s="87"/>
      <c r="J41" s="239" cm="1">
        <f t="array" ref="J41">VALUE(o_Tijdstip_Isol_Max_Orientatie(J8,J11))</f>
        <v>0.58333333333333337</v>
      </c>
      <c r="K41" s="239"/>
      <c r="L41" s="240"/>
      <c r="M41" s="87"/>
      <c r="N41" s="239" cm="1">
        <f t="array" ref="N41">VALUE(o_Tijdstip_Isol_Max_Orientatie(N8,N11))</f>
        <v>0.625</v>
      </c>
      <c r="O41" s="239"/>
      <c r="P41" s="240"/>
      <c r="Q41" s="87"/>
      <c r="R41" s="239" cm="1">
        <f t="array" ref="R41">VALUE(o_Tijdstip_Isol_Max_Orientatie(R8,R11))</f>
        <v>0.5</v>
      </c>
      <c r="S41" s="239"/>
      <c r="T41" s="240"/>
      <c r="U41" s="84"/>
    </row>
    <row r="42" spans="1:21" s="195" customFormat="1" ht="12" customHeight="1" x14ac:dyDescent="0.25">
      <c r="A42" s="66" t="s">
        <v>139</v>
      </c>
      <c r="B42" s="241" t="e" cm="1">
        <f t="array" ref="B42">o_maxTemp(o_Tijdstip_Isol_Max_Orientatie(B8,B11))</f>
        <v>#VALUE!</v>
      </c>
      <c r="C42" s="241"/>
      <c r="D42" s="241"/>
      <c r="E42" s="207" t="s">
        <v>2</v>
      </c>
      <c r="F42" s="241" cm="1">
        <f t="array" ref="F42">o_maxTemp(o_Tijdstip_Isol_Max_Orientatie(F8,F11))</f>
        <v>24.7</v>
      </c>
      <c r="G42" s="241"/>
      <c r="H42" s="241"/>
      <c r="I42" s="207" t="s">
        <v>2</v>
      </c>
      <c r="J42" s="241" cm="1">
        <f t="array" ref="J42">o_maxTemp(o_Tijdstip_Isol_Max_Orientatie(J8,J11))</f>
        <v>29.9</v>
      </c>
      <c r="K42" s="241"/>
      <c r="L42" s="241"/>
      <c r="M42" s="207" t="s">
        <v>2</v>
      </c>
      <c r="N42" s="241" cm="1">
        <f t="array" ref="N42">o_maxTemp(o_Tijdstip_Isol_Max_Orientatie(N8,N11))</f>
        <v>29.8</v>
      </c>
      <c r="O42" s="241"/>
      <c r="P42" s="241"/>
      <c r="Q42" s="207" t="s">
        <v>2</v>
      </c>
      <c r="R42" s="241" cm="1">
        <f t="array" ref="R42">o_maxTemp(o_Tijdstip_Isol_Max_Orientatie(R8,R11))</f>
        <v>28.9</v>
      </c>
      <c r="S42" s="241"/>
      <c r="T42" s="241"/>
      <c r="U42" s="84"/>
    </row>
    <row r="43" spans="1:21" s="195" customFormat="1" ht="12" customHeight="1" x14ac:dyDescent="0.2">
      <c r="A43" s="75"/>
      <c r="B43" s="75"/>
      <c r="C43" s="75"/>
      <c r="D43" s="75"/>
      <c r="E43" s="35"/>
      <c r="F43" s="75"/>
      <c r="G43" s="75"/>
      <c r="H43" s="75"/>
      <c r="I43" s="75"/>
      <c r="J43" s="75"/>
      <c r="K43" s="75"/>
      <c r="L43" s="75"/>
      <c r="M43" s="75"/>
      <c r="N43" s="75"/>
      <c r="O43" s="75"/>
      <c r="P43" s="75"/>
      <c r="Q43" s="75"/>
      <c r="R43" s="75"/>
      <c r="S43" s="75"/>
      <c r="T43" s="84"/>
      <c r="U43" s="84"/>
    </row>
    <row r="44" spans="1:21" s="195" customFormat="1" ht="12" hidden="1" customHeight="1" x14ac:dyDescent="0.2">
      <c r="A44" s="92" t="s">
        <v>169</v>
      </c>
      <c r="B44" s="96">
        <f>IF(B10="Ja",B18+D18,0)</f>
        <v>0</v>
      </c>
      <c r="C44" s="35" t="s">
        <v>0</v>
      </c>
      <c r="D44" s="75"/>
      <c r="E44" s="35"/>
      <c r="F44" s="96">
        <f>IF(F10="Ja",F18+H18,0)</f>
        <v>0</v>
      </c>
      <c r="G44" s="35" t="s">
        <v>0</v>
      </c>
      <c r="H44" s="75"/>
      <c r="I44" s="75"/>
      <c r="J44" s="96">
        <f>IF(J10="Ja",J18+L18,0)</f>
        <v>0</v>
      </c>
      <c r="K44" s="35" t="s">
        <v>0</v>
      </c>
      <c r="L44" s="75"/>
      <c r="M44" s="75"/>
      <c r="N44" s="96">
        <f>IF(N10="Ja",N18+P18,0)</f>
        <v>0</v>
      </c>
      <c r="O44" s="35" t="s">
        <v>0</v>
      </c>
      <c r="P44" s="75"/>
      <c r="Q44" s="75"/>
      <c r="R44" s="96">
        <f>IF(R10="Ja",R18+T18,0)</f>
        <v>0</v>
      </c>
      <c r="S44" s="35" t="s">
        <v>0</v>
      </c>
      <c r="T44" s="84"/>
      <c r="U44" s="84"/>
    </row>
    <row r="45" spans="1:21" s="195" customFormat="1" ht="12" hidden="1" customHeight="1" x14ac:dyDescent="0.2">
      <c r="A45" s="92" t="s">
        <v>126</v>
      </c>
      <c r="B45" s="93" t="b">
        <f>IF(B10="Ja",IF(B8="Noord",FALSE,TRUE),FALSE)</f>
        <v>0</v>
      </c>
      <c r="C45" s="35"/>
      <c r="D45" s="35"/>
      <c r="E45" s="35"/>
      <c r="F45" s="94" t="b">
        <f>IF(F10="Ja",IF(F8="Noord",FALSE,TRUE),FALSE)</f>
        <v>0</v>
      </c>
      <c r="G45" s="75"/>
      <c r="H45" s="75"/>
      <c r="I45" s="75"/>
      <c r="J45" s="94" t="b">
        <f>IF(J10="Ja",IF(J8="Noord",FALSE,TRUE),FALSE)</f>
        <v>0</v>
      </c>
      <c r="K45" s="75"/>
      <c r="L45" s="75"/>
      <c r="M45" s="75"/>
      <c r="N45" s="94" t="b">
        <f>IF(N10="Ja",IF(N8="Noord",FALSE,TRUE),FALSE)</f>
        <v>0</v>
      </c>
      <c r="O45" s="75"/>
      <c r="P45" s="75"/>
      <c r="Q45" s="75"/>
      <c r="R45" s="94" t="b">
        <f>IF(R10="Ja",IF(R8="Noord",FALSE,TRUE),FALSE)</f>
        <v>0</v>
      </c>
      <c r="S45" s="75"/>
      <c r="T45" s="84"/>
      <c r="U45" s="84"/>
    </row>
    <row r="46" spans="1:21" s="195" customFormat="1" ht="12" hidden="1" customHeight="1" x14ac:dyDescent="0.2">
      <c r="A46" s="92" t="s">
        <v>109</v>
      </c>
      <c r="B46" s="95" t="b">
        <f>IF(AND(B45=TRUE,COUNTIF($B$45:$R$45,TRUE)=1),TRUE,FALSE)</f>
        <v>0</v>
      </c>
      <c r="C46" s="35"/>
      <c r="D46" s="75"/>
      <c r="E46" s="35"/>
      <c r="F46" s="95" t="b">
        <f>IF(AND(F45=TRUE,COUNTIF($B$45:$R$45,TRUE)=1),TRUE,FALSE)</f>
        <v>0</v>
      </c>
      <c r="G46" s="75"/>
      <c r="H46" s="75"/>
      <c r="I46" s="75"/>
      <c r="J46" s="95" t="b">
        <f>IF(AND(J45=TRUE,COUNTIF($B$45:$R$45,TRUE)=1),TRUE,FALSE)</f>
        <v>0</v>
      </c>
      <c r="K46" s="75"/>
      <c r="L46" s="75"/>
      <c r="M46" s="75"/>
      <c r="N46" s="95" t="b">
        <f>IF(AND(N45=TRUE,COUNTIF($B$45:$R$45,TRUE)=1),TRUE,FALSE)</f>
        <v>0</v>
      </c>
      <c r="O46" s="75"/>
      <c r="P46" s="75"/>
      <c r="Q46" s="75"/>
      <c r="R46" s="95" t="b">
        <f>IF(AND(R45=TRUE,COUNTIF($B$45:$R$45,TRUE)=1),TRUE,FALSE)</f>
        <v>0</v>
      </c>
      <c r="S46" s="75"/>
      <c r="T46" s="84"/>
      <c r="U46" s="84"/>
    </row>
    <row r="47" spans="1:21" s="195" customFormat="1" ht="12" hidden="1" customHeight="1" x14ac:dyDescent="0.2">
      <c r="A47" s="92" t="s">
        <v>152</v>
      </c>
      <c r="B47" s="96">
        <f>IF(B8&lt;&gt;"Noord",B44,0)</f>
        <v>0</v>
      </c>
      <c r="C47" s="35" t="s">
        <v>0</v>
      </c>
      <c r="D47" s="75"/>
      <c r="E47" s="35"/>
      <c r="F47" s="96">
        <f>IF(F8&lt;&gt;"Noord",F44,0)</f>
        <v>0</v>
      </c>
      <c r="G47" s="35" t="s">
        <v>0</v>
      </c>
      <c r="H47" s="75"/>
      <c r="I47" s="75"/>
      <c r="J47" s="96">
        <f>IF(J8&lt;&gt;"Noord",J44,0)</f>
        <v>0</v>
      </c>
      <c r="K47" s="35" t="s">
        <v>0</v>
      </c>
      <c r="L47" s="75"/>
      <c r="M47" s="75"/>
      <c r="N47" s="96">
        <f>IF(N8&lt;&gt;"Noord",N44,0)</f>
        <v>0</v>
      </c>
      <c r="O47" s="35" t="s">
        <v>0</v>
      </c>
      <c r="P47" s="75"/>
      <c r="Q47" s="75"/>
      <c r="R47" s="96">
        <f>R44</f>
        <v>0</v>
      </c>
      <c r="S47" s="35" t="s">
        <v>0</v>
      </c>
      <c r="T47" s="84"/>
      <c r="U47" s="84"/>
    </row>
    <row r="48" spans="1:21" s="195" customFormat="1" ht="12" hidden="1" customHeight="1" x14ac:dyDescent="0.2">
      <c r="A48" s="92" t="s">
        <v>153</v>
      </c>
      <c r="B48" s="97" t="b">
        <f>IF(AND(B45,B47=MAX($B$47:$R$47)),TRUE,FALSE)</f>
        <v>0</v>
      </c>
      <c r="C48" s="35"/>
      <c r="D48" s="75"/>
      <c r="E48" s="35"/>
      <c r="F48" s="97" t="b">
        <f>IF(AND(F45,F47=MAX($B$47:$R$47)),TRUE,FALSE)</f>
        <v>0</v>
      </c>
      <c r="G48" s="75"/>
      <c r="H48" s="75"/>
      <c r="I48" s="75"/>
      <c r="J48" s="97" t="b">
        <f>IF(AND(J45,J47=MAX($B$47:$R$47)),TRUE,FALSE)</f>
        <v>0</v>
      </c>
      <c r="K48" s="75"/>
      <c r="L48" s="75"/>
      <c r="M48" s="75"/>
      <c r="N48" s="97" t="b">
        <f>IF(AND(N45,N47=MAX($B$47:$R$47)),TRUE,FALSE)</f>
        <v>0</v>
      </c>
      <c r="O48" s="75"/>
      <c r="P48" s="75"/>
      <c r="Q48" s="75"/>
      <c r="R48" s="97" t="b">
        <f>IF(AND(R45,R47=MAX($B$47:$R$47)),TRUE,FALSE)</f>
        <v>0</v>
      </c>
      <c r="S48" s="75"/>
      <c r="T48" s="84"/>
      <c r="U48" s="84"/>
    </row>
    <row r="49" spans="1:21" s="195" customFormat="1" ht="12" hidden="1" customHeight="1" x14ac:dyDescent="0.2">
      <c r="A49" s="92" t="s">
        <v>125</v>
      </c>
      <c r="B49" s="98" t="e">
        <f>IF(AND(B11&lt;90,B15&gt;3*(B18+D18),'Projectgegevens en Resultaten'!#REF!&lt;65),TRUE,FALSE)</f>
        <v>#REF!</v>
      </c>
      <c r="C49" s="35"/>
      <c r="D49" s="35"/>
      <c r="E49" s="35"/>
      <c r="F49" s="98" t="e">
        <f>IF(AND(F11&lt;90,F15&gt;3*(F18+H18),'Projectgegevens en Resultaten'!#REF!&lt;65),TRUE,FALSE)</f>
        <v>#REF!</v>
      </c>
      <c r="G49" s="75"/>
      <c r="H49" s="75"/>
      <c r="I49" s="75"/>
      <c r="J49" s="98" t="e">
        <f>IF(AND(J11&lt;90,J15&gt;3*(J18+L18),'Projectgegevens en Resultaten'!#REF!&lt;65),TRUE,FALSE)</f>
        <v>#REF!</v>
      </c>
      <c r="K49" s="75"/>
      <c r="L49" s="75"/>
      <c r="M49" s="75"/>
      <c r="N49" s="98" t="e">
        <f>IF(AND(N11&lt;90,N15&gt;3*(N18+P18),'Projectgegevens en Resultaten'!#REF!&lt;65),TRUE,FALSE)</f>
        <v>#REF!</v>
      </c>
      <c r="O49" s="75"/>
      <c r="P49" s="75"/>
      <c r="Q49" s="75"/>
      <c r="R49" s="98" t="e">
        <f>IF(AND(R11&lt;90,R15&gt;3*(R18+T18),'Projectgegevens en Resultaten'!#REF!&lt;65),TRUE,FALSE)</f>
        <v>#REF!</v>
      </c>
      <c r="S49" s="75"/>
      <c r="T49" s="84"/>
      <c r="U49" s="84"/>
    </row>
    <row r="50" spans="1:21" s="195" customFormat="1" ht="12" hidden="1" customHeight="1" x14ac:dyDescent="0.2">
      <c r="A50" s="92" t="s">
        <v>154</v>
      </c>
      <c r="B50" s="98" t="b">
        <f>IF(COUNTIF($B$49:$R$49,TRUE)&gt;0,TRUE,FALSE)</f>
        <v>0</v>
      </c>
      <c r="C50" s="35"/>
      <c r="D50" s="35"/>
      <c r="E50" s="35"/>
      <c r="F50" s="98" t="b">
        <f>IF(COUNTIF($B$49:$R$49,TRUE)&gt;0,TRUE,FALSE)</f>
        <v>0</v>
      </c>
      <c r="G50" s="75"/>
      <c r="H50" s="75"/>
      <c r="I50" s="75"/>
      <c r="J50" s="98" t="b">
        <f>IF(COUNTIF($B$49:$R$49,TRUE)&gt;0,TRUE,FALSE)</f>
        <v>0</v>
      </c>
      <c r="K50" s="75"/>
      <c r="L50" s="75"/>
      <c r="M50" s="75"/>
      <c r="N50" s="98" t="b">
        <f>IF(COUNTIF($B$49:$R$49,TRUE)&gt;0,TRUE,FALSE)</f>
        <v>0</v>
      </c>
      <c r="O50" s="75"/>
      <c r="P50" s="75"/>
      <c r="Q50" s="75"/>
      <c r="R50" s="98" t="b">
        <f>IF(COUNTIF($B$49:$R$49,TRUE)&gt;0,TRUE,FALSE)</f>
        <v>0</v>
      </c>
      <c r="S50" s="75"/>
      <c r="T50" s="84"/>
      <c r="U50" s="84"/>
    </row>
    <row r="51" spans="1:21" s="195" customFormat="1" ht="12" hidden="1" customHeight="1" x14ac:dyDescent="0.2">
      <c r="A51" s="92" t="s">
        <v>151</v>
      </c>
      <c r="B51" s="99" t="e">
        <f>IF(OR(B46,AND(B45,B50,B49),AND(B45,B48,NOT(B50))),B41)</f>
        <v>#REF!</v>
      </c>
      <c r="C51" s="35"/>
      <c r="D51" s="35"/>
      <c r="E51" s="35"/>
      <c r="F51" s="99" t="e">
        <f>IF(OR(F46,AND(F45,F50,F49),AND(F45,F48,NOT(F50))),F41)</f>
        <v>#REF!</v>
      </c>
      <c r="G51" s="75"/>
      <c r="H51" s="35"/>
      <c r="I51" s="75"/>
      <c r="J51" s="99" t="e">
        <f>IF(OR(J46,AND(J45,J50,J49),AND(J45,J48,NOT(J50))),J41)</f>
        <v>#REF!</v>
      </c>
      <c r="K51" s="75"/>
      <c r="L51" s="35"/>
      <c r="M51" s="75"/>
      <c r="N51" s="99" t="e">
        <f>IF(OR(N46,AND(N45,N50,N49),AND(N45,N48,NOT(N50))),N41)</f>
        <v>#REF!</v>
      </c>
      <c r="O51" s="75"/>
      <c r="P51" s="75"/>
      <c r="Q51" s="75"/>
      <c r="R51" s="99" t="e">
        <f>IF(OR(R46,AND(R45,R50,R49),AND(R45,R48,NOT(R50))),R41)</f>
        <v>#REF!</v>
      </c>
      <c r="S51" s="75"/>
      <c r="T51" s="84"/>
      <c r="U51" s="84"/>
    </row>
    <row r="52" spans="1:21" s="195" customFormat="1" ht="12" customHeight="1" x14ac:dyDescent="0.25">
      <c r="A52" s="39" t="s">
        <v>140</v>
      </c>
      <c r="B52" s="100" t="str">
        <f>IFERROR(B88,"geen glas ingevoerd")</f>
        <v>Geen glas aanwezig</v>
      </c>
      <c r="C52" s="35"/>
      <c r="D52" s="35"/>
      <c r="E52" s="35"/>
      <c r="F52" s="75"/>
      <c r="G52" s="75"/>
      <c r="H52" s="75"/>
      <c r="I52" s="75"/>
      <c r="J52" s="75"/>
      <c r="K52" s="75"/>
      <c r="L52" s="75"/>
      <c r="M52" s="75"/>
      <c r="N52" s="75"/>
      <c r="O52" s="75"/>
      <c r="P52" s="75"/>
      <c r="Q52" s="75"/>
      <c r="R52" s="75"/>
      <c r="S52" s="75"/>
      <c r="T52" s="84"/>
      <c r="U52" s="84"/>
    </row>
    <row r="53" spans="1:21" s="195" customFormat="1" ht="12" customHeight="1" x14ac:dyDescent="0.25">
      <c r="A53" s="66" t="s">
        <v>139</v>
      </c>
      <c r="B53" s="98" t="str">
        <f>IF(MAX(T77:T86)=0,"",_xlfn.XLOOKUP(MAX(T77:T86),T77:T86,$D$77:$D$86,"nvt"))</f>
        <v/>
      </c>
      <c r="C53" s="71" t="s">
        <v>2</v>
      </c>
      <c r="D53" s="35"/>
      <c r="E53" s="35"/>
      <c r="F53" s="75"/>
      <c r="G53" s="75"/>
      <c r="H53" s="75"/>
      <c r="I53" s="75"/>
      <c r="J53" s="75"/>
      <c r="K53" s="75"/>
      <c r="L53" s="75"/>
      <c r="M53" s="75"/>
      <c r="N53" s="75"/>
      <c r="O53" s="75"/>
      <c r="P53" s="75"/>
      <c r="Q53" s="75"/>
      <c r="R53" s="75"/>
      <c r="S53" s="75"/>
      <c r="T53" s="84"/>
      <c r="U53" s="84"/>
    </row>
    <row r="54" spans="1:21" s="195" customFormat="1" ht="12" customHeight="1" x14ac:dyDescent="0.2">
      <c r="A54" s="75"/>
      <c r="B54" s="75"/>
      <c r="C54" s="75"/>
      <c r="D54" s="75"/>
      <c r="E54" s="75"/>
      <c r="F54" s="75"/>
      <c r="G54" s="75"/>
      <c r="H54" s="75"/>
      <c r="I54" s="75"/>
      <c r="J54" s="75"/>
      <c r="K54" s="75"/>
      <c r="L54" s="75"/>
      <c r="M54" s="75"/>
      <c r="N54" s="75"/>
      <c r="O54" s="75"/>
      <c r="P54" s="75"/>
      <c r="Q54" s="75"/>
      <c r="R54" s="75"/>
      <c r="S54" s="75"/>
      <c r="T54" s="84"/>
      <c r="U54" s="84"/>
    </row>
    <row r="55" spans="1:21" s="195" customFormat="1" ht="12" customHeight="1" x14ac:dyDescent="0.25">
      <c r="A55" s="36" t="s">
        <v>260</v>
      </c>
      <c r="B55" s="248">
        <f>IF(B10="Nee",0,B16*'Projectgegevens en Resultaten'!$B$16)</f>
        <v>0</v>
      </c>
      <c r="C55" s="248"/>
      <c r="D55" s="249"/>
      <c r="E55" s="40" t="s">
        <v>11</v>
      </c>
      <c r="F55" s="248">
        <f>IF(F10="Nee",0,F16*'Projectgegevens en Resultaten'!$B$16)</f>
        <v>0</v>
      </c>
      <c r="G55" s="248"/>
      <c r="H55" s="249"/>
      <c r="I55" s="40" t="s">
        <v>11</v>
      </c>
      <c r="J55" s="248">
        <f>IF(J10="Nee",0,J16*'Projectgegevens en Resultaten'!$B$16)</f>
        <v>0</v>
      </c>
      <c r="K55" s="248"/>
      <c r="L55" s="249"/>
      <c r="M55" s="40" t="s">
        <v>11</v>
      </c>
      <c r="N55" s="248">
        <f>IF(N10="Nee",0,N16*'Projectgegevens en Resultaten'!$B$16)</f>
        <v>0</v>
      </c>
      <c r="O55" s="248"/>
      <c r="P55" s="249"/>
      <c r="Q55" s="40" t="s">
        <v>11</v>
      </c>
      <c r="R55" s="248">
        <f>IF(R10="Nee",0,R16*'Projectgegevens en Resultaten'!$B$16)</f>
        <v>0</v>
      </c>
      <c r="S55" s="248"/>
      <c r="T55" s="249"/>
      <c r="U55" s="40" t="s">
        <v>11</v>
      </c>
    </row>
    <row r="56" spans="1:21" s="195" customFormat="1" ht="12" customHeight="1" x14ac:dyDescent="0.25">
      <c r="A56" s="72" t="s">
        <v>142</v>
      </c>
      <c r="B56" s="242">
        <f>(0.75*B18*FLOOR(B20,0.05)*0.9*B35*B38*B39)+(0.75*D18*FLOOR(D20,0.05)*0.9*D35*D38*D39)</f>
        <v>0</v>
      </c>
      <c r="C56" s="242"/>
      <c r="D56" s="243"/>
      <c r="E56" s="40" t="s">
        <v>11</v>
      </c>
      <c r="F56" s="242">
        <f>(0.75*F18*FLOOR(F20,0.05)*0.9*F35*F38*F39)+(0.75*H18*FLOOR(H20,0.05)*0.9*H35*H38*H39)</f>
        <v>0</v>
      </c>
      <c r="G56" s="242"/>
      <c r="H56" s="243"/>
      <c r="I56" s="40" t="s">
        <v>11</v>
      </c>
      <c r="J56" s="242">
        <f>(0.75*J18*FLOOR(J20,0.05)*0.9*J35*J38*J39)+(0.75*L18*FLOOR(L20,0.05)*0.9*L35*L38*L39)</f>
        <v>0</v>
      </c>
      <c r="K56" s="242"/>
      <c r="L56" s="243"/>
      <c r="M56" s="40" t="s">
        <v>11</v>
      </c>
      <c r="N56" s="242">
        <f>(0.75*N18*FLOOR(N20,0.05)*0.9*N35*N38*N39)+(0.75*P18*FLOOR(P20,0.05)*0.9*P35*P38*P39)</f>
        <v>0</v>
      </c>
      <c r="O56" s="242"/>
      <c r="P56" s="243"/>
      <c r="Q56" s="40" t="s">
        <v>11</v>
      </c>
      <c r="R56" s="242">
        <f>(0.75*R18*FLOOR(R20,0.05)*0.9*R35*R38*R39)+(0.75*T18*FLOOR(T20,0.05)*0.9*T35*T38*T39)</f>
        <v>0</v>
      </c>
      <c r="S56" s="242"/>
      <c r="T56" s="243"/>
      <c r="U56" s="40" t="s">
        <v>11</v>
      </c>
    </row>
    <row r="57" spans="1:21" s="195" customFormat="1" ht="12" customHeight="1" x14ac:dyDescent="0.25">
      <c r="A57" s="72" t="s">
        <v>143</v>
      </c>
      <c r="B57" s="248">
        <f>IF(B10="Nee",0,IFERROR(B18*B19*($B$53-24),0)+IFERROR(D18*D19*($B$53-24),0))</f>
        <v>0</v>
      </c>
      <c r="C57" s="248"/>
      <c r="D57" s="249"/>
      <c r="E57" s="40" t="s">
        <v>11</v>
      </c>
      <c r="F57" s="248">
        <f>IF(F10="Nee",0,IFERROR(F18*F19*($B$53-24),0)+IFERROR(H18*H19*($B$53-24),0))</f>
        <v>0</v>
      </c>
      <c r="G57" s="248"/>
      <c r="H57" s="249"/>
      <c r="I57" s="40" t="s">
        <v>11</v>
      </c>
      <c r="J57" s="248">
        <f>IF(J10="Nee",0,IFERROR(J18*J19*($B$53-24),0)+IFERROR(L18*L19*($B$53-24),0))</f>
        <v>0</v>
      </c>
      <c r="K57" s="248"/>
      <c r="L57" s="249"/>
      <c r="M57" s="40" t="s">
        <v>11</v>
      </c>
      <c r="N57" s="248">
        <f>IF(N10="Nee",0,IFERROR(N18*N19*($B$53-24),0)+IFERROR(P18*P19*($B$53-24),0))</f>
        <v>0</v>
      </c>
      <c r="O57" s="248"/>
      <c r="P57" s="249"/>
      <c r="Q57" s="40" t="s">
        <v>11</v>
      </c>
      <c r="R57" s="248">
        <f>IF(R10="Nee",0,IFERROR(R18*R19*($B$53-24),0)+IFERROR(T18*T19*($B$53-24),0))</f>
        <v>0</v>
      </c>
      <c r="S57" s="248"/>
      <c r="T57" s="249"/>
      <c r="U57" s="40" t="s">
        <v>11</v>
      </c>
    </row>
    <row r="58" spans="1:21" s="195" customFormat="1" ht="12" customHeight="1" x14ac:dyDescent="0.2">
      <c r="A58" s="66" t="s">
        <v>100</v>
      </c>
      <c r="B58" s="246">
        <f>SUM(B55:D57)</f>
        <v>0</v>
      </c>
      <c r="C58" s="246"/>
      <c r="D58" s="247"/>
      <c r="E58" s="40" t="s">
        <v>11</v>
      </c>
      <c r="F58" s="246">
        <f>SUM(F55:H57)</f>
        <v>0</v>
      </c>
      <c r="G58" s="246"/>
      <c r="H58" s="247"/>
      <c r="I58" s="41" t="s">
        <v>11</v>
      </c>
      <c r="J58" s="246">
        <f>SUM(J55:L57)</f>
        <v>0</v>
      </c>
      <c r="K58" s="246"/>
      <c r="L58" s="247"/>
      <c r="M58" s="41" t="s">
        <v>11</v>
      </c>
      <c r="N58" s="246">
        <f>SUM(N55:P57)</f>
        <v>0</v>
      </c>
      <c r="O58" s="246"/>
      <c r="P58" s="247"/>
      <c r="Q58" s="41" t="s">
        <v>11</v>
      </c>
      <c r="R58" s="250">
        <f>SUM(R55:R57)</f>
        <v>0</v>
      </c>
      <c r="S58" s="250"/>
      <c r="T58" s="250"/>
      <c r="U58" s="41" t="s">
        <v>11</v>
      </c>
    </row>
    <row r="59" spans="1:21" s="195" customFormat="1" ht="12" customHeight="1" x14ac:dyDescent="0.2">
      <c r="A59" s="75"/>
      <c r="B59" s="76"/>
      <c r="C59" s="76"/>
      <c r="D59" s="76"/>
      <c r="E59" s="75"/>
      <c r="F59" s="75"/>
      <c r="G59" s="75"/>
      <c r="H59" s="75"/>
      <c r="I59" s="75"/>
      <c r="J59" s="75"/>
      <c r="K59" s="75"/>
      <c r="L59" s="75"/>
      <c r="M59" s="75"/>
      <c r="N59" s="75"/>
      <c r="O59" s="75"/>
      <c r="P59" s="75"/>
      <c r="Q59" s="75"/>
      <c r="R59" s="75"/>
      <c r="S59" s="75"/>
      <c r="T59" s="75"/>
      <c r="U59" s="84"/>
    </row>
    <row r="60" spans="1:21" s="195" customFormat="1" ht="12" customHeight="1" x14ac:dyDescent="0.25">
      <c r="A60" s="36" t="s">
        <v>144</v>
      </c>
      <c r="B60" s="242">
        <f>IF(B5=0,0,IF(B4="Woonvertrek",2*'Projectgegevens en Resultaten'!$B$33*B5,'Projectgegevens en Resultaten'!$B$33*B5))</f>
        <v>0</v>
      </c>
      <c r="C60" s="242"/>
      <c r="D60" s="243"/>
      <c r="E60" s="40" t="s">
        <v>11</v>
      </c>
      <c r="F60" s="75"/>
      <c r="G60" s="75"/>
      <c r="H60" s="75"/>
      <c r="I60" s="75"/>
      <c r="J60" s="75"/>
      <c r="K60" s="75"/>
      <c r="L60" s="75"/>
      <c r="M60" s="75"/>
      <c r="N60" s="75"/>
      <c r="O60" s="75"/>
      <c r="P60" s="75"/>
      <c r="Q60" s="75"/>
      <c r="R60" s="65"/>
      <c r="S60" s="35"/>
      <c r="T60" s="75"/>
      <c r="U60" s="84"/>
    </row>
    <row r="61" spans="1:21" s="195" customFormat="1" ht="12" customHeight="1" x14ac:dyDescent="0.25">
      <c r="A61" s="36" t="s">
        <v>145</v>
      </c>
      <c r="B61" s="244">
        <f>IFERROR(MAX((SUM('Projectgegevens en Resultaten'!$B$21:$B$23)/3600*1.205*1005*(B53-24))/SUM('Projectgegevens en Resultaten'!$B$40:$T$40)*B5,0),0)</f>
        <v>0</v>
      </c>
      <c r="C61" s="244">
        <f>IFERROR(MAX(SUM(C57:C59)/3600*1.205*1005*(C60-24),0),0)</f>
        <v>0</v>
      </c>
      <c r="D61" s="245">
        <f>IFERROR(MAX(SUM(D57:D59)/3600*1.205*1005*(D60-24),0),0)</f>
        <v>0</v>
      </c>
      <c r="E61" s="40" t="s">
        <v>11</v>
      </c>
      <c r="F61" s="75"/>
      <c r="G61" s="75"/>
      <c r="H61" s="75"/>
      <c r="I61" s="75"/>
      <c r="J61" s="75"/>
      <c r="K61" s="75"/>
      <c r="L61" s="75"/>
      <c r="M61" s="75"/>
      <c r="N61" s="75"/>
      <c r="O61" s="75"/>
      <c r="P61" s="75"/>
      <c r="Q61" s="75"/>
      <c r="R61" s="65"/>
      <c r="S61" s="35"/>
      <c r="T61" s="75"/>
      <c r="U61" s="84"/>
    </row>
    <row r="62" spans="1:21" s="195" customFormat="1" ht="12" customHeight="1" x14ac:dyDescent="0.2">
      <c r="A62" s="75"/>
      <c r="B62" s="76"/>
      <c r="C62" s="76"/>
      <c r="D62" s="76"/>
      <c r="E62" s="75"/>
      <c r="F62" s="75"/>
      <c r="G62" s="75"/>
      <c r="H62" s="75"/>
      <c r="I62" s="75"/>
      <c r="J62" s="75"/>
      <c r="K62" s="75"/>
      <c r="L62" s="75"/>
      <c r="M62" s="75"/>
      <c r="N62" s="75"/>
      <c r="O62" s="75"/>
      <c r="P62" s="75"/>
      <c r="Q62" s="75"/>
      <c r="R62" s="75"/>
      <c r="S62" s="75"/>
      <c r="T62" s="75"/>
      <c r="U62" s="84"/>
    </row>
    <row r="63" spans="1:21" s="195" customFormat="1" ht="12" customHeight="1" x14ac:dyDescent="0.2">
      <c r="A63" s="72" t="s">
        <v>167</v>
      </c>
      <c r="B63" s="242">
        <f>IFERROR(SUM(B58:T58)+B60+B61,0)</f>
        <v>0</v>
      </c>
      <c r="C63" s="242"/>
      <c r="D63" s="243"/>
      <c r="E63" s="40" t="s">
        <v>11</v>
      </c>
      <c r="F63" s="35"/>
      <c r="G63" s="35"/>
      <c r="H63" s="35"/>
      <c r="I63" s="35"/>
      <c r="J63" s="35"/>
      <c r="K63" s="35"/>
      <c r="L63" s="35"/>
      <c r="M63" s="35"/>
      <c r="N63" s="35"/>
      <c r="O63" s="35"/>
      <c r="P63" s="35"/>
      <c r="Q63" s="35"/>
      <c r="R63" s="35"/>
      <c r="S63" s="35"/>
      <c r="T63" s="75"/>
      <c r="U63" s="84"/>
    </row>
    <row r="64" spans="1:21" s="195" customFormat="1" ht="12" customHeight="1" x14ac:dyDescent="0.2">
      <c r="A64" s="72" t="s">
        <v>99</v>
      </c>
      <c r="B64" s="246">
        <f>IFERROR(B63/B5,0)</f>
        <v>0</v>
      </c>
      <c r="C64" s="246"/>
      <c r="D64" s="247"/>
      <c r="E64" s="40" t="s">
        <v>12</v>
      </c>
      <c r="F64" s="35"/>
      <c r="G64" s="35"/>
      <c r="H64" s="35"/>
      <c r="I64" s="35"/>
      <c r="J64" s="35"/>
      <c r="K64" s="35"/>
      <c r="L64" s="35"/>
      <c r="M64" s="35"/>
      <c r="N64" s="35"/>
      <c r="O64" s="35"/>
      <c r="P64" s="35"/>
      <c r="Q64" s="35"/>
      <c r="R64" s="35"/>
      <c r="S64" s="35"/>
      <c r="T64" s="75"/>
      <c r="U64" s="84"/>
    </row>
    <row r="65" spans="1:21" s="195" customFormat="1" ht="12" customHeight="1" x14ac:dyDescent="0.2">
      <c r="A65" s="75"/>
      <c r="B65" s="75"/>
      <c r="C65" s="75"/>
      <c r="D65" s="75"/>
      <c r="E65" s="75"/>
      <c r="F65" s="75"/>
      <c r="G65" s="75"/>
      <c r="H65" s="75"/>
      <c r="I65" s="75"/>
      <c r="J65" s="75"/>
      <c r="K65" s="75"/>
      <c r="L65" s="75"/>
      <c r="M65" s="75"/>
      <c r="N65" s="75"/>
      <c r="O65" s="75"/>
      <c r="P65" s="75"/>
      <c r="Q65" s="75"/>
      <c r="R65" s="75"/>
      <c r="S65" s="75"/>
      <c r="T65" s="75"/>
      <c r="U65" s="84"/>
    </row>
    <row r="70" spans="1:21" hidden="1" x14ac:dyDescent="0.2"/>
    <row r="71" spans="1:21" ht="15" hidden="1" customHeight="1" x14ac:dyDescent="0.2">
      <c r="A71" s="236" t="s">
        <v>251</v>
      </c>
      <c r="B71" s="236"/>
      <c r="C71" s="236"/>
      <c r="D71" s="236"/>
      <c r="E71" s="236"/>
      <c r="F71" s="236"/>
      <c r="G71" s="236"/>
      <c r="H71" s="236"/>
      <c r="I71" s="236"/>
      <c r="J71" s="236"/>
      <c r="K71" s="236"/>
      <c r="L71" s="236"/>
      <c r="M71" s="236"/>
      <c r="N71" s="236"/>
      <c r="O71" s="236"/>
      <c r="P71" s="236"/>
      <c r="Q71" s="236"/>
      <c r="R71" s="236"/>
      <c r="S71" s="236"/>
      <c r="T71" s="236"/>
      <c r="U71" s="236"/>
    </row>
    <row r="72" spans="1:21" ht="15" hidden="1" customHeight="1" x14ac:dyDescent="0.2">
      <c r="A72" s="236"/>
      <c r="B72" s="236"/>
      <c r="C72" s="236"/>
      <c r="D72" s="236"/>
      <c r="E72" s="236"/>
      <c r="F72" s="236"/>
      <c r="G72" s="236"/>
      <c r="H72" s="236"/>
      <c r="I72" s="236"/>
      <c r="J72" s="236"/>
      <c r="K72" s="236"/>
      <c r="L72" s="236"/>
      <c r="M72" s="236"/>
      <c r="N72" s="236"/>
      <c r="O72" s="236"/>
      <c r="P72" s="236"/>
      <c r="Q72" s="236"/>
      <c r="R72" s="236"/>
      <c r="S72" s="236"/>
      <c r="T72" s="236"/>
      <c r="U72" s="236"/>
    </row>
    <row r="73" spans="1:21" hidden="1" x14ac:dyDescent="0.2">
      <c r="A73" s="196" t="s">
        <v>249</v>
      </c>
      <c r="B73" s="197" cm="1">
        <f t="array" ref="B73">IF(B$10="Nee",0,o_Isol_Max_Orientatie(B8,B11))</f>
        <v>0</v>
      </c>
      <c r="C73" s="198" t="s">
        <v>12</v>
      </c>
      <c r="D73" s="198"/>
      <c r="E73" s="198"/>
      <c r="F73" s="197" cm="1">
        <f t="array" ref="F73">IF(F$10="Nee",0,o_Isol_Max_Orientatie(F8,F11))</f>
        <v>0</v>
      </c>
      <c r="G73" s="198" t="s">
        <v>12</v>
      </c>
      <c r="H73" s="198"/>
      <c r="I73" s="198"/>
      <c r="J73" s="197" cm="1">
        <f t="array" ref="J73">IF(J$10="Nee",0,o_Isol_Max_Orientatie(J8,J11))</f>
        <v>0</v>
      </c>
      <c r="K73" s="198" t="s">
        <v>12</v>
      </c>
      <c r="L73" s="198"/>
      <c r="M73" s="198"/>
      <c r="N73" s="197" cm="1">
        <f t="array" ref="N73">IF(N$10="Nee",0,o_Isol_Max_Orientatie(N8,N11))</f>
        <v>0</v>
      </c>
      <c r="O73" s="198" t="s">
        <v>12</v>
      </c>
      <c r="P73" s="198"/>
      <c r="Q73" s="198"/>
      <c r="R73" s="197" cm="1">
        <f t="array" ref="R73">IF(R$10="Nee",0,o_Isol_Max_Orientatie(R8,R11))</f>
        <v>0</v>
      </c>
      <c r="S73" s="198" t="s">
        <v>12</v>
      </c>
      <c r="T73" s="198"/>
      <c r="U73" s="198"/>
    </row>
    <row r="74" spans="1:21" hidden="1" x14ac:dyDescent="0.2">
      <c r="A74" s="196" t="s">
        <v>250</v>
      </c>
      <c r="B74" s="199" t="e" cm="1">
        <f t="array" ref="B74">VALUE(o_Tijdstip_Isol_Max_Orientatie(B8,B11))</f>
        <v>#VALUE!</v>
      </c>
      <c r="C74" s="198"/>
      <c r="D74" s="198"/>
      <c r="E74" s="198"/>
      <c r="F74" s="200" cm="1">
        <f t="array" ref="F74">VALUE(o_Tijdstip_Isol_Max_Orientatie(F8,F11))</f>
        <v>0.375</v>
      </c>
      <c r="G74" s="198"/>
      <c r="H74" s="198"/>
      <c r="I74" s="198"/>
      <c r="J74" s="200" cm="1">
        <f t="array" ref="J74">VALUE(o_Tijdstip_Isol_Max_Orientatie(J8,J11))</f>
        <v>0.58333333333333337</v>
      </c>
      <c r="K74" s="198"/>
      <c r="L74" s="198"/>
      <c r="M74" s="198"/>
      <c r="N74" s="200" cm="1">
        <f t="array" ref="N74">VALUE(o_Tijdstip_Isol_Max_Orientatie(N8,N11))</f>
        <v>0.625</v>
      </c>
      <c r="O74" s="198"/>
      <c r="P74" s="198"/>
      <c r="Q74" s="198"/>
      <c r="R74" s="200" cm="1">
        <f t="array" ref="R74">VALUE(o_Tijdstip_Isol_Max_Orientatie(R8,R11))</f>
        <v>0.5</v>
      </c>
      <c r="S74" s="198"/>
      <c r="T74" s="198"/>
      <c r="U74" s="198"/>
    </row>
    <row r="75" spans="1:21" hidden="1" x14ac:dyDescent="0.2">
      <c r="A75" s="196"/>
      <c r="B75" s="196"/>
      <c r="C75" s="196"/>
      <c r="D75" s="196"/>
      <c r="E75" s="196"/>
      <c r="F75" s="196"/>
      <c r="G75" s="196"/>
      <c r="H75" s="196"/>
      <c r="I75" s="196"/>
      <c r="J75" s="196"/>
      <c r="K75" s="196"/>
      <c r="L75" s="196"/>
      <c r="M75" s="196"/>
      <c r="N75" s="196"/>
      <c r="O75" s="196"/>
      <c r="P75" s="196"/>
      <c r="Q75" s="196"/>
      <c r="R75" s="196"/>
      <c r="S75" s="196"/>
      <c r="T75" s="196"/>
      <c r="U75" s="196"/>
    </row>
    <row r="76" spans="1:21" ht="13.5" hidden="1" x14ac:dyDescent="0.25">
      <c r="A76" s="196" t="s">
        <v>142</v>
      </c>
      <c r="B76" s="196"/>
      <c r="C76" s="196"/>
      <c r="D76" s="196" t="s">
        <v>284</v>
      </c>
      <c r="E76" s="196"/>
      <c r="F76" s="196"/>
      <c r="G76" s="196"/>
      <c r="H76" s="196"/>
      <c r="I76" s="196"/>
      <c r="J76" s="196"/>
      <c r="K76" s="196"/>
      <c r="L76" s="196"/>
      <c r="M76" s="196"/>
      <c r="N76" s="196"/>
      <c r="O76" s="196"/>
      <c r="P76" s="196"/>
      <c r="Q76" s="196"/>
      <c r="R76" s="196"/>
      <c r="S76" s="196"/>
      <c r="T76" s="196"/>
      <c r="U76" s="196"/>
    </row>
    <row r="77" spans="1:21" hidden="1" x14ac:dyDescent="0.2">
      <c r="A77" s="201">
        <v>0.375</v>
      </c>
      <c r="B77" s="197" cm="1">
        <f t="array" ref="B77">IFERROR((0.75*B$18*FLOOR(B$20,0.05)*0.9*B$35*B$38*o_Isol_Bij_Tijdstip($A77,B$8,B$11))+(0.75*D$18*FLOOR(D$20,0.05)*0.9*D$35*D$38*o_Isol_Bij_Tijdstip($A77,B$8,B$11)),0)</f>
        <v>0</v>
      </c>
      <c r="C77" s="196" t="s">
        <v>11</v>
      </c>
      <c r="D77" s="196">
        <v>24.7</v>
      </c>
      <c r="E77" s="196"/>
      <c r="F77" s="197" cm="1">
        <f t="array" ref="F77">IFERROR((0.75*F$18*FLOOR(F$20,0.05)*0.9*F$35*F$38*o_Isol_Bij_Tijdstip($A77,F$8,F$11))+(0.75*H$18*FLOOR(H$20,0.05)*0.9*H$35*H$38*o_Isol_Bij_Tijdstip($A77,F$8,F$11)),0)</f>
        <v>0</v>
      </c>
      <c r="G77" s="196" t="s">
        <v>11</v>
      </c>
      <c r="H77" s="196"/>
      <c r="I77" s="196"/>
      <c r="J77" s="197" cm="1">
        <f t="array" ref="J77">IFERROR((0.75*J$18*FLOOR(J$20,0.05)*0.9*J$35*J$38*o_Isol_Bij_Tijdstip($A77,J$8,J$11))+(0.75*L$18*FLOOR(L$20,0.05)*0.9*L$35*L$38*o_Isol_Bij_Tijdstip($A77,J$8,J$11)),0)</f>
        <v>0</v>
      </c>
      <c r="K77" s="196" t="s">
        <v>11</v>
      </c>
      <c r="L77" s="196"/>
      <c r="M77" s="196"/>
      <c r="N77" s="197" cm="1">
        <f t="array" ref="N77">IFERROR((0.75*N$18*FLOOR(N$20,0.05)*0.9*N$35*N$38*o_Isol_Bij_Tijdstip($A77,N$8,N$11))+(0.75*P$18*FLOOR(P$20,0.05)*0.9*P$35*P$38*o_Isol_Bij_Tijdstip($A77,N$8,N$11)),0)</f>
        <v>0</v>
      </c>
      <c r="O77" s="196" t="s">
        <v>11</v>
      </c>
      <c r="P77" s="196"/>
      <c r="Q77" s="196"/>
      <c r="R77" s="197" cm="1">
        <f t="array" ref="R77">IFERROR(IF(R$10="Nee",0,(0.75*R$18*FLOOR(R$20,0.05)*0.9*R$35*R$38*o_Isol_Bij_Tijdstip($A77,R$8,R$11))+(0.75*T$18*FLOOR(T$20,0.05)*0.9*T$35*T$38*o_Isol_Bij_Tijdstip($A77,R$8,R$11))),0)</f>
        <v>0</v>
      </c>
      <c r="S77" s="196" t="s">
        <v>11</v>
      </c>
      <c r="T77" s="197">
        <f t="shared" ref="T77:T86" si="0">B77+F77+J77+N77+R77</f>
        <v>0</v>
      </c>
      <c r="U77" s="196" t="s">
        <v>11</v>
      </c>
    </row>
    <row r="78" spans="1:21" hidden="1" x14ac:dyDescent="0.2">
      <c r="A78" s="201">
        <v>0.41666666666666669</v>
      </c>
      <c r="B78" s="197" cm="1">
        <f t="array" ref="B78">IFERROR((0.75*B$18*FLOOR(B$20,0.05)*0.9*B$35*B$38*o_Isol_Bij_Tijdstip($A78,B$8,B$11))+(0.75*D$18*FLOOR(D$20,0.05)*0.9*D$35*D$38*o_Isol_Bij_Tijdstip($A78,B$8,B$11)),0)</f>
        <v>0</v>
      </c>
      <c r="C78" s="196" t="s">
        <v>11</v>
      </c>
      <c r="D78" s="196">
        <v>26.9</v>
      </c>
      <c r="E78" s="196"/>
      <c r="F78" s="197" cm="1">
        <f t="array" ref="F78">IFERROR((0.75*F$18*FLOOR(F$20,0.05)*0.9*F$35*F$38*o_Isol_Bij_Tijdstip($A78,F$8,F$11))+(0.75*H$18*FLOOR(H$20,0.05)*0.9*H$35*H$38*o_Isol_Bij_Tijdstip($A78,F$8,F$11)),0)</f>
        <v>0</v>
      </c>
      <c r="G78" s="196" t="s">
        <v>11</v>
      </c>
      <c r="H78" s="196"/>
      <c r="I78" s="196"/>
      <c r="J78" s="197" cm="1">
        <f t="array" ref="J78">IFERROR((0.75*J$18*FLOOR(J$20,0.05)*0.9*J$35*J$38*o_Isol_Bij_Tijdstip($A78,J$8,J$11))+(0.75*L$18*FLOOR(L$20,0.05)*0.9*L$35*L$38*o_Isol_Bij_Tijdstip($A78,J$8,J$11)),0)</f>
        <v>0</v>
      </c>
      <c r="K78" s="196" t="s">
        <v>11</v>
      </c>
      <c r="L78" s="196"/>
      <c r="M78" s="196"/>
      <c r="N78" s="197" cm="1">
        <f t="array" ref="N78">IFERROR((0.75*N$18*FLOOR(N$20,0.05)*0.9*N$35*N$38*o_Isol_Bij_Tijdstip($A78,N$8,N$11))+(0.75*P$18*FLOOR(P$20,0.05)*0.9*P$35*P$38*o_Isol_Bij_Tijdstip($A78,N$8,N$11)),0)</f>
        <v>0</v>
      </c>
      <c r="O78" s="196" t="s">
        <v>11</v>
      </c>
      <c r="P78" s="196"/>
      <c r="Q78" s="196"/>
      <c r="R78" s="197" cm="1">
        <f t="array" ref="R78">IFERROR(IF(R$10="Nee",0,(0.75*R$18*FLOOR(R$20,0.05)*0.9*R$35*R$38*o_Isol_Bij_Tijdstip($A78,R$8,R$11))+(0.75*T$18*FLOOR(T$20,0.05)*0.9*T$35*T$38*o_Isol_Bij_Tijdstip($A78,R$8,R$11))),0)</f>
        <v>0</v>
      </c>
      <c r="S78" s="196" t="s">
        <v>11</v>
      </c>
      <c r="T78" s="197">
        <f t="shared" si="0"/>
        <v>0</v>
      </c>
      <c r="U78" s="196" t="s">
        <v>11</v>
      </c>
    </row>
    <row r="79" spans="1:21" hidden="1" x14ac:dyDescent="0.2">
      <c r="A79" s="201">
        <v>0.45833333333333331</v>
      </c>
      <c r="B79" s="197" cm="1">
        <f t="array" ref="B79">IFERROR((0.75*B$18*FLOOR(B$20,0.05)*0.9*B$35*B$38*o_Isol_Bij_Tijdstip($A79,B$8,B$11))+(0.75*D$18*FLOOR(D$20,0.05)*0.9*D$35*D$38*o_Isol_Bij_Tijdstip($A79,B$8,B$11)),0)</f>
        <v>0</v>
      </c>
      <c r="C79" s="196" t="s">
        <v>11</v>
      </c>
      <c r="D79" s="196">
        <v>28.2</v>
      </c>
      <c r="E79" s="196"/>
      <c r="F79" s="197" cm="1">
        <f t="array" ref="F79">IFERROR((0.75*F$18*FLOOR(F$20,0.05)*0.9*F$35*F$38*o_Isol_Bij_Tijdstip($A79,F$8,F$11))+(0.75*H$18*FLOOR(H$20,0.05)*0.9*H$35*H$38*o_Isol_Bij_Tijdstip($A79,F$8,F$11)),0)</f>
        <v>0</v>
      </c>
      <c r="G79" s="196" t="s">
        <v>11</v>
      </c>
      <c r="H79" s="196"/>
      <c r="I79" s="196"/>
      <c r="J79" s="197" cm="1">
        <f t="array" ref="J79">IFERROR((0.75*J$18*FLOOR(J$20,0.05)*0.9*J$35*J$38*o_Isol_Bij_Tijdstip($A79,J$8,J$11))+(0.75*L$18*FLOOR(L$20,0.05)*0.9*L$35*L$38*o_Isol_Bij_Tijdstip($A79,J$8,J$11)),0)</f>
        <v>0</v>
      </c>
      <c r="K79" s="196" t="s">
        <v>11</v>
      </c>
      <c r="L79" s="196"/>
      <c r="M79" s="196"/>
      <c r="N79" s="197" cm="1">
        <f t="array" ref="N79">IFERROR((0.75*N$18*FLOOR(N$20,0.05)*0.9*N$35*N$38*o_Isol_Bij_Tijdstip($A79,N$8,N$11))+(0.75*P$18*FLOOR(P$20,0.05)*0.9*P$35*P$38*o_Isol_Bij_Tijdstip($A79,N$8,N$11)),0)</f>
        <v>0</v>
      </c>
      <c r="O79" s="196" t="s">
        <v>11</v>
      </c>
      <c r="P79" s="196"/>
      <c r="Q79" s="196"/>
      <c r="R79" s="197" cm="1">
        <f t="array" ref="R79">IFERROR(IF(R$10="Nee",0,(0.75*R$18*FLOOR(R$20,0.05)*0.9*R$35*R$38*o_Isol_Bij_Tijdstip($A79,R$8,R$11))+(0.75*T$18*FLOOR(T$20,0.05)*0.9*T$35*T$38*o_Isol_Bij_Tijdstip($A79,R$8,R$11))),0)</f>
        <v>0</v>
      </c>
      <c r="S79" s="196" t="s">
        <v>11</v>
      </c>
      <c r="T79" s="197">
        <f t="shared" si="0"/>
        <v>0</v>
      </c>
      <c r="U79" s="196" t="s">
        <v>11</v>
      </c>
    </row>
    <row r="80" spans="1:21" hidden="1" x14ac:dyDescent="0.2">
      <c r="A80" s="201">
        <v>0.5</v>
      </c>
      <c r="B80" s="197" cm="1">
        <f t="array" ref="B80">IFERROR((0.75*B$18*FLOOR(B$20,0.05)*0.9*B$35*B$38*o_Isol_Bij_Tijdstip($A80,B$8,B$11))+(0.75*D$18*FLOOR(D$20,0.05)*0.9*D$35*D$38*o_Isol_Bij_Tijdstip($A80,B$8,B$11)),0)</f>
        <v>0</v>
      </c>
      <c r="C80" s="196" t="s">
        <v>11</v>
      </c>
      <c r="D80" s="196">
        <v>28.9</v>
      </c>
      <c r="E80" s="196"/>
      <c r="F80" s="197" cm="1">
        <f t="array" ref="F80">IFERROR((0.75*F$18*FLOOR(F$20,0.05)*0.9*F$35*F$38*o_Isol_Bij_Tijdstip($A80,F$8,F$11))+(0.75*H$18*FLOOR(H$20,0.05)*0.9*H$35*H$38*o_Isol_Bij_Tijdstip($A80,F$8,F$11)),0)</f>
        <v>0</v>
      </c>
      <c r="G80" s="196" t="s">
        <v>11</v>
      </c>
      <c r="H80" s="196"/>
      <c r="I80" s="196"/>
      <c r="J80" s="197" cm="1">
        <f t="array" ref="J80">IFERROR((0.75*J$18*FLOOR(J$20,0.05)*0.9*J$35*J$38*o_Isol_Bij_Tijdstip($A80,J$8,J$11))+(0.75*L$18*FLOOR(L$20,0.05)*0.9*L$35*L$38*o_Isol_Bij_Tijdstip($A80,J$8,J$11)),0)</f>
        <v>0</v>
      </c>
      <c r="K80" s="196" t="s">
        <v>11</v>
      </c>
      <c r="L80" s="196"/>
      <c r="M80" s="196"/>
      <c r="N80" s="197" cm="1">
        <f t="array" ref="N80">IFERROR((0.75*N$18*FLOOR(N$20,0.05)*0.9*N$35*N$38*o_Isol_Bij_Tijdstip($A80,N$8,N$11))+(0.75*P$18*FLOOR(P$20,0.05)*0.9*P$35*P$38*o_Isol_Bij_Tijdstip($A80,N$8,N$11)),0)</f>
        <v>0</v>
      </c>
      <c r="O80" s="196" t="s">
        <v>11</v>
      </c>
      <c r="P80" s="196"/>
      <c r="Q80" s="196"/>
      <c r="R80" s="197" cm="1">
        <f t="array" ref="R80">IFERROR(IF(R$10="Nee",0,(0.75*R$18*FLOOR(R$20,0.05)*0.9*R$35*R$38*o_Isol_Bij_Tijdstip($A80,R$8,R$11))+(0.75*T$18*FLOOR(T$20,0.05)*0.9*T$35*T$38*o_Isol_Bij_Tijdstip($A80,R$8,R$11))),0)</f>
        <v>0</v>
      </c>
      <c r="S80" s="196" t="s">
        <v>11</v>
      </c>
      <c r="T80" s="197">
        <f t="shared" si="0"/>
        <v>0</v>
      </c>
      <c r="U80" s="196" t="s">
        <v>11</v>
      </c>
    </row>
    <row r="81" spans="1:21" hidden="1" x14ac:dyDescent="0.2">
      <c r="A81" s="201">
        <v>0.54166666666666696</v>
      </c>
      <c r="B81" s="197" cm="1">
        <f t="array" ref="B81">IFERROR((0.75*B$18*FLOOR(B$20,0.05)*0.9*B$35*B$38*o_Isol_Bij_Tijdstip($A81,B$8,B$11))+(0.75*D$18*FLOOR(D$20,0.05)*0.9*D$35*D$38*o_Isol_Bij_Tijdstip($A81,B$8,B$11)),0)</f>
        <v>0</v>
      </c>
      <c r="C81" s="196" t="s">
        <v>11</v>
      </c>
      <c r="D81" s="196">
        <v>29.7</v>
      </c>
      <c r="E81" s="196"/>
      <c r="F81" s="197" cm="1">
        <f t="array" ref="F81">IFERROR((0.75*F$18*FLOOR(F$20,0.05)*0.9*F$35*F$38*o_Isol_Bij_Tijdstip($A81,F$8,F$11))+(0.75*H$18*FLOOR(H$20,0.05)*0.9*H$35*H$38*o_Isol_Bij_Tijdstip($A81,F$8,F$11)),0)</f>
        <v>0</v>
      </c>
      <c r="G81" s="196" t="s">
        <v>11</v>
      </c>
      <c r="H81" s="196"/>
      <c r="I81" s="196"/>
      <c r="J81" s="197" cm="1">
        <f t="array" ref="J81">IFERROR((0.75*J$18*FLOOR(J$20,0.05)*0.9*J$35*J$38*o_Isol_Bij_Tijdstip($A81,J$8,J$11))+(0.75*L$18*FLOOR(L$20,0.05)*0.9*L$35*L$38*o_Isol_Bij_Tijdstip($A81,J$8,J$11)),0)</f>
        <v>0</v>
      </c>
      <c r="K81" s="196" t="s">
        <v>11</v>
      </c>
      <c r="L81" s="196"/>
      <c r="M81" s="196"/>
      <c r="N81" s="197" cm="1">
        <f t="array" ref="N81">IFERROR((0.75*N$18*FLOOR(N$20,0.05)*0.9*N$35*N$38*o_Isol_Bij_Tijdstip($A81,N$8,N$11))+(0.75*P$18*FLOOR(P$20,0.05)*0.9*P$35*P$38*o_Isol_Bij_Tijdstip($A81,N$8,N$11)),0)</f>
        <v>0</v>
      </c>
      <c r="O81" s="196" t="s">
        <v>11</v>
      </c>
      <c r="P81" s="196"/>
      <c r="Q81" s="196"/>
      <c r="R81" s="197" cm="1">
        <f t="array" ref="R81">IFERROR(IF(R$10="Nee",0,(0.75*R$18*FLOOR(R$20,0.05)*0.9*R$35*R$38*o_Isol_Bij_Tijdstip($A81,R$8,R$11))+(0.75*T$18*FLOOR(T$20,0.05)*0.9*T$35*T$38*o_Isol_Bij_Tijdstip($A81,R$8,R$11))),0)</f>
        <v>0</v>
      </c>
      <c r="S81" s="196" t="s">
        <v>11</v>
      </c>
      <c r="T81" s="197">
        <f t="shared" si="0"/>
        <v>0</v>
      </c>
      <c r="U81" s="196" t="s">
        <v>11</v>
      </c>
    </row>
    <row r="82" spans="1:21" hidden="1" x14ac:dyDescent="0.2">
      <c r="A82" s="201">
        <v>0.58333333333333404</v>
      </c>
      <c r="B82" s="197" cm="1">
        <f t="array" ref="B82">IFERROR((0.75*B$18*FLOOR(B$20,0.05)*0.9*B$35*B$38*o_Isol_Bij_Tijdstip($A82,B$8,B$11))+(0.75*D$18*FLOOR(D$20,0.05)*0.9*D$35*D$38*o_Isol_Bij_Tijdstip($A82,B$8,B$11)),0)</f>
        <v>0</v>
      </c>
      <c r="C82" s="196" t="s">
        <v>11</v>
      </c>
      <c r="D82" s="196">
        <v>29.9</v>
      </c>
      <c r="E82" s="196"/>
      <c r="F82" s="197" cm="1">
        <f t="array" ref="F82">IFERROR((0.75*F$18*FLOOR(F$20,0.05)*0.9*F$35*F$38*o_Isol_Bij_Tijdstip($A82,F$8,F$11))+(0.75*H$18*FLOOR(H$20,0.05)*0.9*H$35*H$38*o_Isol_Bij_Tijdstip($A82,F$8,F$11)),0)</f>
        <v>0</v>
      </c>
      <c r="G82" s="196" t="s">
        <v>11</v>
      </c>
      <c r="H82" s="196"/>
      <c r="I82" s="196"/>
      <c r="J82" s="197" cm="1">
        <f t="array" ref="J82">IFERROR((0.75*J$18*FLOOR(J$20,0.05)*0.9*J$35*J$38*o_Isol_Bij_Tijdstip($A82,J$8,J$11))+(0.75*L$18*FLOOR(L$20,0.05)*0.9*L$35*L$38*o_Isol_Bij_Tijdstip($A82,J$8,J$11)),0)</f>
        <v>0</v>
      </c>
      <c r="K82" s="196" t="s">
        <v>11</v>
      </c>
      <c r="L82" s="196"/>
      <c r="M82" s="196"/>
      <c r="N82" s="197" cm="1">
        <f t="array" ref="N82">IFERROR((0.75*N$18*FLOOR(N$20,0.05)*0.9*N$35*N$38*o_Isol_Bij_Tijdstip($A82,N$8,N$11))+(0.75*P$18*FLOOR(P$20,0.05)*0.9*P$35*P$38*o_Isol_Bij_Tijdstip($A82,N$8,N$11)),0)</f>
        <v>0</v>
      </c>
      <c r="O82" s="196" t="s">
        <v>11</v>
      </c>
      <c r="P82" s="196"/>
      <c r="Q82" s="196"/>
      <c r="R82" s="197" cm="1">
        <f t="array" ref="R82">IFERROR(IF(R$10="Nee",0,(0.75*R$18*FLOOR(R$20,0.05)*0.9*R$35*R$38*o_Isol_Bij_Tijdstip($A82,R$8,R$11))+(0.75*T$18*FLOOR(T$20,0.05)*0.9*T$35*T$38*o_Isol_Bij_Tijdstip($A82,R$8,R$11))),0)</f>
        <v>0</v>
      </c>
      <c r="S82" s="196" t="s">
        <v>11</v>
      </c>
      <c r="T82" s="197">
        <f t="shared" si="0"/>
        <v>0</v>
      </c>
      <c r="U82" s="196" t="s">
        <v>11</v>
      </c>
    </row>
    <row r="83" spans="1:21" hidden="1" x14ac:dyDescent="0.2">
      <c r="A83" s="201">
        <v>0.625000000000001</v>
      </c>
      <c r="B83" s="197" cm="1">
        <f t="array" ref="B83">IFERROR((0.75*B$18*FLOOR(B$20,0.05)*0.9*B$35*B$38*o_Isol_Bij_Tijdstip($A83,B$8,B$11))+(0.75*D$18*FLOOR(D$20,0.05)*0.9*D$35*D$38*o_Isol_Bij_Tijdstip($A83,B$8,B$11)),0)</f>
        <v>0</v>
      </c>
      <c r="C83" s="196" t="s">
        <v>11</v>
      </c>
      <c r="D83" s="196">
        <v>29.8</v>
      </c>
      <c r="E83" s="196"/>
      <c r="F83" s="197" cm="1">
        <f t="array" ref="F83">IFERROR((0.75*F$18*FLOOR(F$20,0.05)*0.9*F$35*F$38*o_Isol_Bij_Tijdstip($A83,F$8,F$11))+(0.75*H$18*FLOOR(H$20,0.05)*0.9*H$35*H$38*o_Isol_Bij_Tijdstip($A83,F$8,F$11)),0)</f>
        <v>0</v>
      </c>
      <c r="G83" s="196" t="s">
        <v>11</v>
      </c>
      <c r="H83" s="196"/>
      <c r="I83" s="196"/>
      <c r="J83" s="197" cm="1">
        <f t="array" ref="J83">IFERROR((0.75*J$18*FLOOR(J$20,0.05)*0.9*J$35*J$38*o_Isol_Bij_Tijdstip($A83,J$8,J$11))+(0.75*L$18*FLOOR(L$20,0.05)*0.9*L$35*L$38*o_Isol_Bij_Tijdstip($A83,J$8,J$11)),0)</f>
        <v>0</v>
      </c>
      <c r="K83" s="196" t="s">
        <v>11</v>
      </c>
      <c r="L83" s="196"/>
      <c r="M83" s="196"/>
      <c r="N83" s="197" cm="1">
        <f t="array" ref="N83">IFERROR((0.75*N$18*FLOOR(N$20,0.05)*0.9*N$35*N$38*o_Isol_Bij_Tijdstip($A83,N$8,N$11))+(0.75*P$18*FLOOR(P$20,0.05)*0.9*P$35*P$38*o_Isol_Bij_Tijdstip($A83,N$8,N$11)),0)</f>
        <v>0</v>
      </c>
      <c r="O83" s="196" t="s">
        <v>11</v>
      </c>
      <c r="P83" s="196"/>
      <c r="Q83" s="196"/>
      <c r="R83" s="197" cm="1">
        <f t="array" ref="R83">IFERROR(IF(R$10="Nee",0,(0.75*R$18*FLOOR(R$20,0.05)*0.9*R$35*R$38*o_Isol_Bij_Tijdstip($A83,R$8,R$11))+(0.75*T$18*FLOOR(T$20,0.05)*0.9*T$35*T$38*o_Isol_Bij_Tijdstip($A83,R$8,R$11))),0)</f>
        <v>0</v>
      </c>
      <c r="S83" s="196" t="s">
        <v>11</v>
      </c>
      <c r="T83" s="197">
        <f t="shared" si="0"/>
        <v>0</v>
      </c>
      <c r="U83" s="196" t="s">
        <v>11</v>
      </c>
    </row>
    <row r="84" spans="1:21" hidden="1" x14ac:dyDescent="0.2">
      <c r="A84" s="201">
        <v>0.66666666666666796</v>
      </c>
      <c r="B84" s="197" cm="1">
        <f t="array" ref="B84">IFERROR((0.75*B$18*FLOOR(B$20,0.05)*0.9*B$35*B$38*o_Isol_Bij_Tijdstip($A84,B$8,B$11))+(0.75*D$18*FLOOR(D$20,0.05)*0.9*D$35*D$38*o_Isol_Bij_Tijdstip($A84,B$8,B$11)),0)</f>
        <v>0</v>
      </c>
      <c r="C84" s="196" t="s">
        <v>11</v>
      </c>
      <c r="D84" s="196">
        <v>30.4</v>
      </c>
      <c r="E84" s="196"/>
      <c r="F84" s="197" cm="1">
        <f t="array" ref="F84">IFERROR((0.75*F$18*FLOOR(F$20,0.05)*0.9*F$35*F$38*o_Isol_Bij_Tijdstip($A84,F$8,F$11))+(0.75*H$18*FLOOR(H$20,0.05)*0.9*H$35*H$38*o_Isol_Bij_Tijdstip($A84,F$8,F$11)),0)</f>
        <v>0</v>
      </c>
      <c r="G84" s="196" t="s">
        <v>11</v>
      </c>
      <c r="H84" s="196"/>
      <c r="I84" s="196"/>
      <c r="J84" s="197" cm="1">
        <f t="array" ref="J84">IFERROR((0.75*J$18*FLOOR(J$20,0.05)*0.9*J$35*J$38*o_Isol_Bij_Tijdstip($A84,J$8,J$11))+(0.75*L$18*FLOOR(L$20,0.05)*0.9*L$35*L$38*o_Isol_Bij_Tijdstip($A84,J$8,J$11)),0)</f>
        <v>0</v>
      </c>
      <c r="K84" s="196" t="s">
        <v>11</v>
      </c>
      <c r="L84" s="196"/>
      <c r="M84" s="196"/>
      <c r="N84" s="197" cm="1">
        <f t="array" ref="N84">IFERROR((0.75*N$18*FLOOR(N$20,0.05)*0.9*N$35*N$38*o_Isol_Bij_Tijdstip($A84,N$8,N$11))+(0.75*P$18*FLOOR(P$20,0.05)*0.9*P$35*P$38*o_Isol_Bij_Tijdstip($A84,N$8,N$11)),0)</f>
        <v>0</v>
      </c>
      <c r="O84" s="196" t="s">
        <v>11</v>
      </c>
      <c r="P84" s="196"/>
      <c r="Q84" s="196"/>
      <c r="R84" s="197" cm="1">
        <f t="array" ref="R84">IFERROR(IF(R$10="Nee",0,(0.75*R$18*FLOOR(R$20,0.05)*0.9*R$35*R$38*o_Isol_Bij_Tijdstip($A84,R$8,R$11))+(0.75*T$18*FLOOR(T$20,0.05)*0.9*T$35*T$38*o_Isol_Bij_Tijdstip($A84,R$8,R$11))),0)</f>
        <v>0</v>
      </c>
      <c r="S84" s="196" t="s">
        <v>11</v>
      </c>
      <c r="T84" s="197">
        <f t="shared" si="0"/>
        <v>0</v>
      </c>
      <c r="U84" s="196" t="s">
        <v>11</v>
      </c>
    </row>
    <row r="85" spans="1:21" hidden="1" x14ac:dyDescent="0.2">
      <c r="A85" s="201">
        <v>0.70833333333333504</v>
      </c>
      <c r="B85" s="197" cm="1">
        <f t="array" ref="B85">IFERROR((0.75*B$18*FLOOR(B$20,0.05)*0.9*B$35*B$38*o_Isol_Bij_Tijdstip($A85,B$8,B$11))+(0.75*D$18*FLOOR(D$20,0.05)*0.9*D$35*D$38*o_Isol_Bij_Tijdstip($A85,B$8,B$11)),0)</f>
        <v>0</v>
      </c>
      <c r="C85" s="196" t="s">
        <v>11</v>
      </c>
      <c r="D85" s="196">
        <v>30.6</v>
      </c>
      <c r="E85" s="196"/>
      <c r="F85" s="197" cm="1">
        <f t="array" ref="F85">IFERROR((0.75*F$18*FLOOR(F$20,0.05)*0.9*F$35*F$38*o_Isol_Bij_Tijdstip($A85,F$8,F$11))+(0.75*H$18*FLOOR(H$20,0.05)*0.9*H$35*H$38*o_Isol_Bij_Tijdstip($A85,F$8,F$11)),0)</f>
        <v>0</v>
      </c>
      <c r="G85" s="196" t="s">
        <v>11</v>
      </c>
      <c r="H85" s="196"/>
      <c r="I85" s="196"/>
      <c r="J85" s="197" cm="1">
        <f t="array" ref="J85">IFERROR((0.75*J$18*FLOOR(J$20,0.05)*0.9*J$35*J$38*o_Isol_Bij_Tijdstip($A85,J$8,J$11))+(0.75*L$18*FLOOR(L$20,0.05)*0.9*L$35*L$38*o_Isol_Bij_Tijdstip($A85,J$8,J$11)),0)</f>
        <v>0</v>
      </c>
      <c r="K85" s="196" t="s">
        <v>11</v>
      </c>
      <c r="L85" s="196"/>
      <c r="M85" s="196"/>
      <c r="N85" s="197" cm="1">
        <f t="array" ref="N85">IFERROR((0.75*N$18*FLOOR(N$20,0.05)*0.9*N$35*N$38*o_Isol_Bij_Tijdstip($A85,N$8,N$11))+(0.75*P$18*FLOOR(P$20,0.05)*0.9*P$35*P$38*o_Isol_Bij_Tijdstip($A85,N$8,N$11)),0)</f>
        <v>0</v>
      </c>
      <c r="O85" s="196" t="s">
        <v>11</v>
      </c>
      <c r="P85" s="196"/>
      <c r="Q85" s="196"/>
      <c r="R85" s="197" cm="1">
        <f t="array" ref="R85">IFERROR(IF(R$10="Nee",0,(0.75*R$18*FLOOR(R$20,0.05)*0.9*R$35*R$38*o_Isol_Bij_Tijdstip($A85,R$8,R$11))+(0.75*T$18*FLOOR(T$20,0.05)*0.9*T$35*T$38*o_Isol_Bij_Tijdstip($A85,R$8,R$11))),0)</f>
        <v>0</v>
      </c>
      <c r="S85" s="196" t="s">
        <v>11</v>
      </c>
      <c r="T85" s="197">
        <f t="shared" si="0"/>
        <v>0</v>
      </c>
      <c r="U85" s="196" t="s">
        <v>11</v>
      </c>
    </row>
    <row r="86" spans="1:21" hidden="1" x14ac:dyDescent="0.2">
      <c r="A86" s="201">
        <v>0.750000000000002</v>
      </c>
      <c r="B86" s="197" cm="1">
        <f t="array" ref="B86">IFERROR((0.75*B$18*FLOOR(B$20,0.05)*0.9*B$35*B$38*o_Isol_Bij_Tijdstip($A86,B$8,B$11))+(0.75*D$18*FLOOR(D$20,0.05)*0.9*D$35*D$38*o_Isol_Bij_Tijdstip($A86,B$8,B$11)),0)</f>
        <v>0</v>
      </c>
      <c r="C86" s="196" t="s">
        <v>11</v>
      </c>
      <c r="D86" s="196">
        <v>30.1</v>
      </c>
      <c r="E86" s="196"/>
      <c r="F86" s="197" cm="1">
        <f t="array" ref="F86">IFERROR((0.75*F$18*FLOOR(F$20,0.05)*0.9*F$35*F$38*o_Isol_Bij_Tijdstip($A86,F$8,F$11))+(0.75*H$18*FLOOR(H$20,0.05)*0.9*H$35*H$38*o_Isol_Bij_Tijdstip($A86,F$8,F$11)),0)</f>
        <v>0</v>
      </c>
      <c r="G86" s="196" t="s">
        <v>11</v>
      </c>
      <c r="H86" s="196"/>
      <c r="I86" s="196"/>
      <c r="J86" s="197" cm="1">
        <f t="array" ref="J86">IFERROR((0.75*J$18*FLOOR(J$20,0.05)*0.9*J$35*J$38*o_Isol_Bij_Tijdstip($A86,J$8,J$11))+(0.75*L$18*FLOOR(L$20,0.05)*0.9*L$35*L$38*o_Isol_Bij_Tijdstip($A86,J$8,J$11)),0)</f>
        <v>0</v>
      </c>
      <c r="K86" s="196" t="s">
        <v>11</v>
      </c>
      <c r="L86" s="196"/>
      <c r="M86" s="196"/>
      <c r="N86" s="197" cm="1">
        <f t="array" ref="N86">IFERROR((0.75*N$18*FLOOR(N$20,0.05)*0.9*N$35*N$38*o_Isol_Bij_Tijdstip($A86,N$8,N$11))+(0.75*P$18*FLOOR(P$20,0.05)*0.9*P$35*P$38*o_Isol_Bij_Tijdstip($A86,N$8,N$11)),0)</f>
        <v>0</v>
      </c>
      <c r="O86" s="196" t="s">
        <v>11</v>
      </c>
      <c r="P86" s="196"/>
      <c r="Q86" s="196"/>
      <c r="R86" s="197" cm="1">
        <f t="array" ref="R86">IFERROR(IF(R$10="Nee",0,(0.75*R$18*FLOOR(R$20,0.05)*0.9*R$35*R$38*o_Isol_Bij_Tijdstip($A86,R$8,R$11))+(0.75*T$18*FLOOR(T$20,0.05)*0.9*T$35*T$38*o_Isol_Bij_Tijdstip($A86,R$8,R$11))),0)</f>
        <v>0</v>
      </c>
      <c r="S86" s="196" t="s">
        <v>11</v>
      </c>
      <c r="T86" s="197">
        <f t="shared" si="0"/>
        <v>0</v>
      </c>
      <c r="U86" s="196" t="s">
        <v>11</v>
      </c>
    </row>
    <row r="87" spans="1:21" hidden="1" x14ac:dyDescent="0.2">
      <c r="A87" s="201"/>
      <c r="B87" s="196"/>
      <c r="C87" s="196"/>
      <c r="D87" s="196"/>
      <c r="E87" s="196"/>
      <c r="F87" s="196"/>
      <c r="G87" s="196"/>
      <c r="H87" s="196"/>
      <c r="I87" s="196"/>
      <c r="J87" s="196"/>
      <c r="K87" s="196"/>
      <c r="L87" s="196"/>
      <c r="M87" s="196"/>
      <c r="N87" s="196"/>
      <c r="O87" s="196"/>
      <c r="P87" s="196"/>
      <c r="Q87" s="196"/>
      <c r="R87" s="196"/>
      <c r="S87" s="196"/>
      <c r="T87" s="196"/>
      <c r="U87" s="196"/>
    </row>
    <row r="88" spans="1:21" hidden="1" x14ac:dyDescent="0.2">
      <c r="A88" s="196" t="s">
        <v>151</v>
      </c>
      <c r="B88" s="200" t="str">
        <f>IF(MAX(T77:T86)=0,"Geen glas aanwezig",_xlfn.XLOOKUP(MAX(T77:T86),T77:T86,A77:A86,"nvt"))</f>
        <v>Geen glas aanwezig</v>
      </c>
      <c r="C88" s="196"/>
      <c r="D88" s="196"/>
      <c r="E88" s="196"/>
      <c r="F88" s="196"/>
      <c r="G88" s="196"/>
      <c r="H88" s="196"/>
      <c r="I88" s="196"/>
      <c r="J88" s="196"/>
      <c r="K88" s="196"/>
      <c r="L88" s="196"/>
      <c r="M88" s="196"/>
      <c r="N88" s="196"/>
      <c r="O88" s="196"/>
      <c r="P88" s="196"/>
      <c r="Q88" s="196"/>
      <c r="R88" s="196"/>
      <c r="S88" s="196"/>
      <c r="T88" s="196"/>
      <c r="U88" s="196"/>
    </row>
    <row r="89" spans="1:21" hidden="1" x14ac:dyDescent="0.2"/>
    <row r="90" spans="1:21" hidden="1" x14ac:dyDescent="0.2"/>
    <row r="91" spans="1:21" hidden="1" x14ac:dyDescent="0.2"/>
    <row r="92" spans="1:21" hidden="1" x14ac:dyDescent="0.2"/>
    <row r="93" spans="1:21" hidden="1" x14ac:dyDescent="0.2"/>
    <row r="94" spans="1:21" hidden="1" x14ac:dyDescent="0.2"/>
    <row r="95" spans="1:21" hidden="1" x14ac:dyDescent="0.2"/>
  </sheetData>
  <sheetProtection algorithmName="SHA-512" hashValue="lXm7miN4MsB7i169yRM0KfcPV1F5FieiZcTF8eeSlmUu6IA9kU9IMNlXRJZaRBLMXeCw2PJLif9WVLODLMWRgQ==" saltValue="MFWYtL2egrAB8IIoQEopSg==" spinCount="100000" sheet="1" objects="1" scenarios="1" selectLockedCells="1"/>
  <mergeCells count="41">
    <mergeCell ref="B60:D60"/>
    <mergeCell ref="B61:D61"/>
    <mergeCell ref="B63:D63"/>
    <mergeCell ref="B64:D64"/>
    <mergeCell ref="B57:D57"/>
    <mergeCell ref="F57:H57"/>
    <mergeCell ref="J57:L57"/>
    <mergeCell ref="N57:P57"/>
    <mergeCell ref="R57:T57"/>
    <mergeCell ref="B58:D58"/>
    <mergeCell ref="F58:H58"/>
    <mergeCell ref="J58:L58"/>
    <mergeCell ref="N58:P58"/>
    <mergeCell ref="R58:T58"/>
    <mergeCell ref="R41:T41"/>
    <mergeCell ref="B56:D56"/>
    <mergeCell ref="F56:H56"/>
    <mergeCell ref="J56:L56"/>
    <mergeCell ref="N56:P56"/>
    <mergeCell ref="R56:T56"/>
    <mergeCell ref="B55:D55"/>
    <mergeCell ref="F55:H55"/>
    <mergeCell ref="J55:L55"/>
    <mergeCell ref="N55:P55"/>
    <mergeCell ref="R55:T55"/>
    <mergeCell ref="A71:U72"/>
    <mergeCell ref="A1:U1"/>
    <mergeCell ref="B7:D7"/>
    <mergeCell ref="F7:H7"/>
    <mergeCell ref="J7:L7"/>
    <mergeCell ref="N7:P7"/>
    <mergeCell ref="R7:U7"/>
    <mergeCell ref="B42:D42"/>
    <mergeCell ref="F42:H42"/>
    <mergeCell ref="J42:L42"/>
    <mergeCell ref="N42:P42"/>
    <mergeCell ref="R42:T42"/>
    <mergeCell ref="B41:D41"/>
    <mergeCell ref="F41:H41"/>
    <mergeCell ref="J41:L41"/>
    <mergeCell ref="N41:P41"/>
  </mergeCells>
  <conditionalFormatting sqref="B77:B86">
    <cfRule type="colorScale" priority="6">
      <colorScale>
        <cfvo type="min"/>
        <cfvo type="percentile" val="50"/>
        <cfvo type="max"/>
        <color rgb="FF61D6FF"/>
        <color rgb="FFFFD85D"/>
        <color rgb="FFFF6D6D"/>
      </colorScale>
    </cfRule>
  </conditionalFormatting>
  <conditionalFormatting sqref="T77:T86">
    <cfRule type="colorScale" priority="5">
      <colorScale>
        <cfvo type="min"/>
        <cfvo type="percentile" val="50"/>
        <cfvo type="max"/>
        <color rgb="FF61D6FF"/>
        <color rgb="FFFFD85D"/>
        <color rgb="FFFF6D6D"/>
      </colorScale>
    </cfRule>
  </conditionalFormatting>
  <conditionalFormatting sqref="F77:F86">
    <cfRule type="colorScale" priority="4">
      <colorScale>
        <cfvo type="min"/>
        <cfvo type="percentile" val="50"/>
        <cfvo type="max"/>
        <color rgb="FF61D6FF"/>
        <color rgb="FFFFD85D"/>
        <color rgb="FFFF6D6D"/>
      </colorScale>
    </cfRule>
  </conditionalFormatting>
  <conditionalFormatting sqref="J77:J86">
    <cfRule type="colorScale" priority="3">
      <colorScale>
        <cfvo type="min"/>
        <cfvo type="percentile" val="50"/>
        <cfvo type="max"/>
        <color rgb="FF61D6FF"/>
        <color rgb="FFFFD85D"/>
        <color rgb="FFFF6D6D"/>
      </colorScale>
    </cfRule>
  </conditionalFormatting>
  <conditionalFormatting sqref="N77:N86">
    <cfRule type="colorScale" priority="2">
      <colorScale>
        <cfvo type="min"/>
        <cfvo type="percentile" val="50"/>
        <cfvo type="max"/>
        <color rgb="FF61D6FF"/>
        <color rgb="FFFFD85D"/>
        <color rgb="FFFF6D6D"/>
      </colorScale>
    </cfRule>
  </conditionalFormatting>
  <conditionalFormatting sqref="R77:R86">
    <cfRule type="colorScale" priority="1">
      <colorScale>
        <cfvo type="min"/>
        <cfvo type="percentile" val="50"/>
        <cfvo type="max"/>
        <color rgb="FF61D6FF"/>
        <color rgb="FFFFD85D"/>
        <color rgb="FFFF6D6D"/>
      </colorScale>
    </cfRule>
  </conditionalFormatting>
  <dataValidations count="5">
    <dataValidation type="list" allowBlank="1" showInputMessage="1" showErrorMessage="1" sqref="B4" xr:uid="{4C537A66-A72F-4350-9A01-4EF45E219E7C}">
      <formula1>"Woonvertrek, Andere verblijfsruimte"</formula1>
    </dataValidation>
    <dataValidation type="list" allowBlank="1" showInputMessage="1" showErrorMessage="1" sqref="P30 L30 D30 N30 H30 F30 J30 B30" xr:uid="{448C0D2D-2742-4640-BE0F-0368AFFCE82B}">
      <formula1>"Links,Rechts,Beide zijden"</formula1>
    </dataValidation>
    <dataValidation type="whole" allowBlank="1" showErrorMessage="1" error="Een platdak heeft een helling van maximaal 15°, voor daken in bij gevels op de juiste orientatie" sqref="R11" xr:uid="{D8455946-EDF3-4092-9A72-A7D880682A42}">
      <formula1>0</formula1>
      <formula2>15</formula2>
    </dataValidation>
    <dataValidation type="whole" allowBlank="1" showErrorMessage="1" error="Een helling &lt; 15° is en platdak voer deze bij kolom R in. _x000a_90° is de maximale invoerwaarde" sqref="H11 D11 L10:L11 B11 F11 J11 K8:M9 O8:Q10 T11 N11 K10 M10 P11:P12 Q11:Q16 P15:P16" xr:uid="{C421B340-839B-4396-BC5E-223313E61848}">
      <formula1>15</formula1>
      <formula2>90</formula2>
    </dataValidation>
    <dataValidation type="list" allowBlank="1" showInputMessage="1" showErrorMessage="1" sqref="F10 N10 B10 J10 R10" xr:uid="{4785AF35-6AD0-417C-AD5E-7769B672C323}">
      <formula1>"Nee,Ja"</formula1>
    </dataValidation>
  </dataValidations>
  <pageMargins left="0.23622047244094491" right="0.23622047244094491" top="0.74803149606299213" bottom="0.74803149606299213" header="0.31496062992125984" footer="0.31496062992125984"/>
  <pageSetup paperSize="9" scale="48" orientation="landscape" r:id="rId1"/>
  <headerFooter alignWithMargins="0">
    <oddHeader>&amp;CREKENTOOL VEREENVOUDIGDE BEPALINGSMETHODE KOELBEHOEFTE (BIJLAGE AA - VERSIE 2025 -NTA 8800)&amp;Rversie 2025.04 d.d. 09-04-2025</oddHeader>
    <oddFooter>&amp;LPrint datum:&amp;D &amp;T_x000D_&amp;1#&amp;"Calibri"&amp;10&amp;K000000 Intern gebruik&amp;C&amp;F&amp;R&amp;P van &amp;N</oddFooter>
  </headerFooter>
  <drawing r:id="rId2"/>
  <legacyDrawing r:id="rId3"/>
  <controls>
    <mc:AlternateContent xmlns:mc="http://schemas.openxmlformats.org/markup-compatibility/2006">
      <mc:Choice Requires="x14">
        <control shapeId="14352" r:id="rId4" name="CommandButton1">
          <controlPr defaultSize="0" autoLine="0" r:id="rId5">
            <anchor moveWithCells="1">
              <from>
                <xdr:col>3</xdr:col>
                <xdr:colOff>209550</xdr:colOff>
                <xdr:row>1</xdr:row>
                <xdr:rowOff>133350</xdr:rowOff>
              </from>
              <to>
                <xdr:col>5</xdr:col>
                <xdr:colOff>38100</xdr:colOff>
                <xdr:row>4</xdr:row>
                <xdr:rowOff>9525</xdr:rowOff>
              </to>
            </anchor>
          </controlPr>
        </control>
      </mc:Choice>
      <mc:Fallback>
        <control shapeId="14352" r:id="rId4" name="CommandButton1"/>
      </mc:Fallback>
    </mc:AlternateContent>
  </controls>
  <extLst>
    <ext xmlns:x14="http://schemas.microsoft.com/office/spreadsheetml/2009/9/main" uri="{CCE6A557-97BC-4b89-ADB6-D9C93CAAB3DF}">
      <x14:dataValidations xmlns:xm="http://schemas.microsoft.com/office/excel/2006/main" count="5">
        <x14:dataValidation type="list" allowBlank="1" showInputMessage="1" showErrorMessage="1" xr:uid="{BD84E8E5-4618-45BF-A7D8-3D8214EC920E}">
          <x14:formula1>
            <xm:f>Tabellen!$A$42:$A$49</xm:f>
          </x14:formula1>
          <xm:sqref>F8 J8 N8</xm:sqref>
        </x14:dataValidation>
        <x14:dataValidation type="list" allowBlank="1" showInputMessage="1" showErrorMessage="1" xr:uid="{198425CF-3B24-470F-AA3A-B423BAEF8B76}">
          <x14:formula1>
            <xm:f>Tabellen!$A$103:$A$108</xm:f>
          </x14:formula1>
          <xm:sqref>L21 H21 B21 D21 N21 F21 P21 J21</xm:sqref>
        </x14:dataValidation>
        <x14:dataValidation type="list" allowBlank="1" showInputMessage="1" showErrorMessage="1" xr:uid="{B8E86832-EECC-4C7C-A857-EC364F417D1A}">
          <x14:formula1>
            <xm:f>Tabellen!$A$111:$A$113</xm:f>
          </x14:formula1>
          <xm:sqref>R21 T21</xm:sqref>
        </x14:dataValidation>
        <x14:dataValidation type="list" allowBlank="1" showInputMessage="1" showErrorMessage="1" xr:uid="{C58070A0-F187-46FC-BADA-C51C66F77167}">
          <x14:formula1>
            <xm:f>Tabellen!$A$85:$A$99</xm:f>
          </x14:formula1>
          <xm:sqref>P37 N37 D37 B37 H37 L37 F37 J37</xm:sqref>
        </x14:dataValidation>
        <x14:dataValidation type="list" allowBlank="1" showInputMessage="1" showErrorMessage="1" xr:uid="{702E99B3-5FC1-409F-982C-BA0A0FDAA204}">
          <x14:formula1>
            <xm:f>Tabellen!$A$85:$A$97</xm:f>
          </x14:formula1>
          <xm:sqref>R37 T37</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60341-0DC3-4A30-8C15-1C7E96E40AC8}">
  <sheetPr codeName="Blad15">
    <pageSetUpPr fitToPage="1"/>
  </sheetPr>
  <dimension ref="A1:U95"/>
  <sheetViews>
    <sheetView showGridLines="0" zoomScale="90" zoomScaleNormal="90" workbookViewId="0">
      <selection activeCell="B3" sqref="B3"/>
    </sheetView>
  </sheetViews>
  <sheetFormatPr defaultColWidth="9.140625" defaultRowHeight="12" x14ac:dyDescent="0.2"/>
  <cols>
    <col min="1" max="1" width="49.7109375" style="202" bestFit="1" customWidth="1"/>
    <col min="2" max="2" width="18.28515625" style="202" customWidth="1"/>
    <col min="3" max="3" width="6.28515625" style="202" bestFit="1" customWidth="1"/>
    <col min="4" max="4" width="18.28515625" style="202" customWidth="1"/>
    <col min="5" max="5" width="6.28515625" style="202" bestFit="1" customWidth="1"/>
    <col min="6" max="6" width="18.28515625" style="202" customWidth="1"/>
    <col min="7" max="7" width="6.28515625" style="202" bestFit="1" customWidth="1"/>
    <col min="8" max="8" width="18.28515625" style="202" customWidth="1"/>
    <col min="9" max="9" width="6.28515625" style="202" bestFit="1" customWidth="1"/>
    <col min="10" max="10" width="18.28515625" style="202" customWidth="1"/>
    <col min="11" max="11" width="6.28515625" style="202" bestFit="1" customWidth="1"/>
    <col min="12" max="12" width="18.28515625" style="202" customWidth="1"/>
    <col min="13" max="13" width="6.28515625" style="202" bestFit="1" customWidth="1"/>
    <col min="14" max="14" width="18.28515625" style="202" customWidth="1"/>
    <col min="15" max="15" width="6.28515625" style="202" bestFit="1" customWidth="1"/>
    <col min="16" max="16" width="18.28515625" style="202" customWidth="1"/>
    <col min="17" max="17" width="6.28515625" style="202" bestFit="1" customWidth="1"/>
    <col min="18" max="18" width="18.28515625" style="202" customWidth="1"/>
    <col min="19" max="19" width="6.28515625" style="202" bestFit="1" customWidth="1"/>
    <col min="20" max="20" width="18.28515625" style="194" customWidth="1"/>
    <col min="21" max="21" width="6.7109375" style="194" bestFit="1" customWidth="1"/>
    <col min="22" max="16384" width="9.140625" style="194"/>
  </cols>
  <sheetData>
    <row r="1" spans="1:21" s="192" customFormat="1" ht="24" customHeight="1" x14ac:dyDescent="0.2">
      <c r="A1" s="251" t="s">
        <v>205</v>
      </c>
      <c r="B1" s="251"/>
      <c r="C1" s="251"/>
      <c r="D1" s="251"/>
      <c r="E1" s="251"/>
      <c r="F1" s="251"/>
      <c r="G1" s="251"/>
      <c r="H1" s="251"/>
      <c r="I1" s="251"/>
      <c r="J1" s="251"/>
      <c r="K1" s="251"/>
      <c r="L1" s="251"/>
      <c r="M1" s="251"/>
      <c r="N1" s="251"/>
      <c r="O1" s="251"/>
      <c r="P1" s="251"/>
      <c r="Q1" s="251"/>
      <c r="R1" s="251"/>
      <c r="S1" s="251"/>
      <c r="T1" s="251"/>
      <c r="U1" s="251"/>
    </row>
    <row r="2" spans="1:21" s="193" customFormat="1" ht="12" customHeight="1" x14ac:dyDescent="0.2">
      <c r="A2" s="65"/>
      <c r="B2" s="75"/>
      <c r="C2" s="75"/>
      <c r="D2" s="75"/>
      <c r="E2" s="75"/>
      <c r="F2" s="75"/>
      <c r="G2" s="75"/>
      <c r="H2" s="75"/>
      <c r="I2" s="75"/>
      <c r="J2" s="75"/>
      <c r="K2" s="75"/>
      <c r="L2" s="75"/>
      <c r="M2" s="75"/>
      <c r="N2" s="75"/>
      <c r="O2" s="75"/>
      <c r="P2" s="75"/>
      <c r="Q2" s="75"/>
      <c r="R2" s="35"/>
      <c r="S2" s="35"/>
      <c r="T2" s="35"/>
      <c r="U2" s="35"/>
    </row>
    <row r="3" spans="1:21" ht="12" customHeight="1" x14ac:dyDescent="0.2">
      <c r="A3" s="36" t="s">
        <v>107</v>
      </c>
      <c r="B3" s="221"/>
      <c r="C3" s="75"/>
      <c r="D3" s="75"/>
      <c r="E3" s="75"/>
      <c r="F3" s="35"/>
      <c r="G3" s="75"/>
      <c r="H3" s="75"/>
      <c r="I3" s="75"/>
      <c r="J3" s="75"/>
      <c r="K3" s="75"/>
      <c r="L3" s="75"/>
      <c r="M3" s="75"/>
      <c r="N3" s="75"/>
      <c r="O3" s="75"/>
      <c r="P3" s="75"/>
      <c r="Q3" s="75"/>
      <c r="R3" s="35"/>
      <c r="S3" s="35"/>
      <c r="T3" s="35"/>
      <c r="U3" s="35"/>
    </row>
    <row r="4" spans="1:21" ht="12" customHeight="1" x14ac:dyDescent="0.2">
      <c r="A4" s="36" t="s">
        <v>191</v>
      </c>
      <c r="B4" s="33" t="s">
        <v>195</v>
      </c>
      <c r="C4" s="75"/>
      <c r="D4" s="75"/>
      <c r="E4" s="75"/>
      <c r="F4" s="35"/>
      <c r="G4" s="75"/>
      <c r="H4" s="75"/>
      <c r="I4" s="75"/>
      <c r="J4" s="75"/>
      <c r="K4" s="75"/>
      <c r="L4" s="75"/>
      <c r="M4" s="75"/>
      <c r="N4" s="75"/>
      <c r="O4" s="75"/>
      <c r="P4" s="75"/>
      <c r="Q4" s="75"/>
      <c r="R4" s="35"/>
      <c r="S4" s="35"/>
      <c r="T4" s="35"/>
      <c r="U4" s="35"/>
    </row>
    <row r="5" spans="1:21" ht="12" customHeight="1" x14ac:dyDescent="0.25">
      <c r="A5" s="39" t="s">
        <v>180</v>
      </c>
      <c r="B5" s="34">
        <v>0</v>
      </c>
      <c r="C5" s="36" t="s">
        <v>0</v>
      </c>
      <c r="D5" s="75"/>
      <c r="E5" s="75"/>
      <c r="F5" s="35"/>
      <c r="G5" s="75"/>
      <c r="H5" s="75"/>
      <c r="I5" s="75"/>
      <c r="J5" s="75"/>
      <c r="K5" s="75"/>
      <c r="L5" s="75"/>
      <c r="M5" s="75"/>
      <c r="N5" s="75"/>
      <c r="O5" s="75"/>
      <c r="P5" s="75"/>
      <c r="Q5" s="75"/>
      <c r="R5" s="35"/>
      <c r="S5" s="35"/>
      <c r="T5" s="35"/>
      <c r="U5" s="35"/>
    </row>
    <row r="6" spans="1:21" s="195" customFormat="1" ht="12" customHeight="1" x14ac:dyDescent="0.2">
      <c r="A6" s="75"/>
      <c r="B6" s="75"/>
      <c r="C6" s="75"/>
      <c r="D6" s="75"/>
      <c r="E6" s="75"/>
      <c r="F6" s="75"/>
      <c r="G6" s="75"/>
      <c r="H6" s="75"/>
      <c r="I6" s="75"/>
      <c r="J6" s="75"/>
      <c r="K6" s="75"/>
      <c r="L6" s="75"/>
      <c r="M6" s="75"/>
      <c r="N6" s="75"/>
      <c r="O6" s="75"/>
      <c r="P6" s="75"/>
      <c r="Q6" s="75"/>
      <c r="R6" s="75"/>
      <c r="S6" s="35"/>
      <c r="T6" s="35"/>
      <c r="U6" s="35"/>
    </row>
    <row r="7" spans="1:21" s="193" customFormat="1" ht="12" customHeight="1" x14ac:dyDescent="0.2">
      <c r="A7" s="65"/>
      <c r="B7" s="237" t="s">
        <v>181</v>
      </c>
      <c r="C7" s="237"/>
      <c r="D7" s="237"/>
      <c r="E7" s="76"/>
      <c r="F7" s="238" t="s">
        <v>182</v>
      </c>
      <c r="G7" s="237"/>
      <c r="H7" s="237"/>
      <c r="I7" s="76"/>
      <c r="J7" s="237" t="s">
        <v>183</v>
      </c>
      <c r="K7" s="237"/>
      <c r="L7" s="237"/>
      <c r="M7" s="76"/>
      <c r="N7" s="237" t="s">
        <v>184</v>
      </c>
      <c r="O7" s="237"/>
      <c r="P7" s="237"/>
      <c r="Q7" s="76"/>
      <c r="R7" s="238" t="s">
        <v>5</v>
      </c>
      <c r="S7" s="238"/>
      <c r="T7" s="238"/>
      <c r="U7" s="238"/>
    </row>
    <row r="8" spans="1:21" s="195" customFormat="1" ht="12" customHeight="1" x14ac:dyDescent="0.2">
      <c r="A8" s="72" t="s">
        <v>129</v>
      </c>
      <c r="B8" s="77">
        <f>'Projectgegevens en Resultaten'!$B$17</f>
        <v>0</v>
      </c>
      <c r="C8" s="183"/>
      <c r="D8" s="183"/>
      <c r="E8" s="183"/>
      <c r="F8" s="184" t="str">
        <f>o_Orientatie(F9)</f>
        <v>Oost</v>
      </c>
      <c r="G8" s="183"/>
      <c r="H8" s="183"/>
      <c r="I8" s="183"/>
      <c r="J8" s="184" t="str">
        <f>o_Orientatie(J9)</f>
        <v>Zuid</v>
      </c>
      <c r="K8" s="185"/>
      <c r="L8" s="185"/>
      <c r="M8" s="185"/>
      <c r="N8" s="184" t="str">
        <f>o_Orientatie(N9)</f>
        <v>West</v>
      </c>
      <c r="O8" s="185"/>
      <c r="P8" s="185"/>
      <c r="Q8" s="185"/>
      <c r="R8" s="186" t="s">
        <v>62</v>
      </c>
      <c r="S8" s="79"/>
      <c r="T8" s="78"/>
      <c r="U8" s="78"/>
    </row>
    <row r="9" spans="1:21" ht="12" hidden="1" customHeight="1" x14ac:dyDescent="0.2">
      <c r="A9" s="70" t="s">
        <v>132</v>
      </c>
      <c r="B9" s="80" cm="1">
        <f t="array" ref="B9">o_OrientatiehOEK(B8)</f>
        <v>0</v>
      </c>
      <c r="C9" s="187"/>
      <c r="D9" s="187"/>
      <c r="E9" s="187"/>
      <c r="F9" s="80">
        <f>IF(B9+90&gt;360,B9+90-360,B9+90)</f>
        <v>90</v>
      </c>
      <c r="G9" s="188"/>
      <c r="H9" s="188"/>
      <c r="I9" s="188"/>
      <c r="J9" s="80">
        <f>IF(F9+90&gt;360,F9+90-360,F9+90)</f>
        <v>180</v>
      </c>
      <c r="K9" s="185"/>
      <c r="L9" s="185"/>
      <c r="M9" s="185"/>
      <c r="N9" s="80">
        <f>IF(J9+90&gt;360,J9+90-360,J9+90)</f>
        <v>270</v>
      </c>
      <c r="O9" s="185"/>
      <c r="P9" s="185"/>
      <c r="Q9" s="185"/>
      <c r="R9" s="188"/>
      <c r="S9" s="79"/>
      <c r="T9" s="104"/>
      <c r="U9" s="104"/>
    </row>
    <row r="10" spans="1:21" s="195" customFormat="1" x14ac:dyDescent="0.2">
      <c r="A10" s="70" t="s">
        <v>102</v>
      </c>
      <c r="B10" s="44" t="s">
        <v>101</v>
      </c>
      <c r="C10" s="187"/>
      <c r="D10" s="187"/>
      <c r="E10" s="187"/>
      <c r="F10" s="44" t="s">
        <v>101</v>
      </c>
      <c r="G10" s="187"/>
      <c r="H10" s="187"/>
      <c r="I10" s="187"/>
      <c r="J10" s="44" t="s">
        <v>101</v>
      </c>
      <c r="K10" s="189"/>
      <c r="L10" s="189"/>
      <c r="M10" s="189"/>
      <c r="N10" s="44" t="s">
        <v>101</v>
      </c>
      <c r="O10" s="189"/>
      <c r="P10" s="189"/>
      <c r="Q10" s="189"/>
      <c r="R10" s="44" t="s">
        <v>101</v>
      </c>
      <c r="S10" s="82"/>
      <c r="T10" s="81"/>
      <c r="U10" s="81"/>
    </row>
    <row r="11" spans="1:21" s="195" customFormat="1" ht="12" customHeight="1" x14ac:dyDescent="0.2">
      <c r="A11" s="70" t="s">
        <v>133</v>
      </c>
      <c r="B11" s="210">
        <v>90</v>
      </c>
      <c r="C11" s="214" t="s">
        <v>103</v>
      </c>
      <c r="D11" s="210"/>
      <c r="E11" s="219"/>
      <c r="F11" s="210">
        <v>90</v>
      </c>
      <c r="G11" s="214" t="s">
        <v>103</v>
      </c>
      <c r="H11" s="210"/>
      <c r="I11" s="214"/>
      <c r="J11" s="210">
        <v>90</v>
      </c>
      <c r="K11" s="214" t="s">
        <v>103</v>
      </c>
      <c r="L11" s="210"/>
      <c r="M11" s="214"/>
      <c r="N11" s="210">
        <v>90</v>
      </c>
      <c r="O11" s="214" t="s">
        <v>103</v>
      </c>
      <c r="P11" s="210"/>
      <c r="Q11" s="210"/>
      <c r="R11" s="211">
        <v>0</v>
      </c>
      <c r="S11" s="214" t="s">
        <v>103</v>
      </c>
      <c r="T11" s="210"/>
      <c r="U11" s="214"/>
    </row>
    <row r="12" spans="1:21" s="195" customFormat="1" ht="12" customHeight="1" x14ac:dyDescent="0.2">
      <c r="A12" s="70" t="s">
        <v>130</v>
      </c>
      <c r="B12" s="211" t="str" cm="1">
        <f t="array" ref="B12">o_TypeConstructie(B10,B11)</f>
        <v>Woningscheidend</v>
      </c>
      <c r="C12" s="211"/>
      <c r="D12" s="211"/>
      <c r="E12" s="209"/>
      <c r="F12" s="211" t="str" cm="1">
        <f t="array" ref="F12">o_TypeConstructie(F10,F11)</f>
        <v>Woningscheidend</v>
      </c>
      <c r="G12" s="209"/>
      <c r="H12" s="211"/>
      <c r="I12" s="209"/>
      <c r="J12" s="211" t="str" cm="1">
        <f t="array" ref="J12">o_TypeConstructie(J10,J11)</f>
        <v>Woningscheidend</v>
      </c>
      <c r="K12" s="209"/>
      <c r="L12" s="211"/>
      <c r="M12" s="209"/>
      <c r="N12" s="211" t="str" cm="1">
        <f t="array" ref="N12">o_TypeConstructie(N10,N11)</f>
        <v>Woningscheidend</v>
      </c>
      <c r="O12" s="209"/>
      <c r="P12" s="211"/>
      <c r="Q12" s="211"/>
      <c r="R12" s="211" t="str" cm="1">
        <f t="array" ref="R12">o_TypeConstructie(R10,R11)</f>
        <v>Woningscheidend</v>
      </c>
      <c r="S12" s="207"/>
      <c r="T12" s="210"/>
      <c r="U12" s="214"/>
    </row>
    <row r="13" spans="1:21" s="195" customFormat="1" ht="12" customHeight="1" x14ac:dyDescent="0.2">
      <c r="A13" s="70" t="s">
        <v>127</v>
      </c>
      <c r="B13" s="207"/>
      <c r="C13" s="207" t="s">
        <v>1</v>
      </c>
      <c r="D13" s="207"/>
      <c r="E13" s="208"/>
      <c r="F13" s="207"/>
      <c r="G13" s="207" t="s">
        <v>1</v>
      </c>
      <c r="H13" s="207"/>
      <c r="I13" s="208"/>
      <c r="J13" s="207"/>
      <c r="K13" s="207" t="s">
        <v>1</v>
      </c>
      <c r="L13" s="207"/>
      <c r="M13" s="208"/>
      <c r="N13" s="207"/>
      <c r="O13" s="207" t="s">
        <v>1</v>
      </c>
      <c r="P13" s="207"/>
      <c r="Q13" s="208"/>
      <c r="R13" s="207"/>
      <c r="S13" s="207" t="s">
        <v>1</v>
      </c>
      <c r="T13" s="208"/>
      <c r="U13" s="208"/>
    </row>
    <row r="14" spans="1:21" s="195" customFormat="1" ht="12" customHeight="1" x14ac:dyDescent="0.2">
      <c r="A14" s="83" t="s">
        <v>128</v>
      </c>
      <c r="B14" s="207"/>
      <c r="C14" s="207" t="s">
        <v>1</v>
      </c>
      <c r="D14" s="207"/>
      <c r="E14" s="208"/>
      <c r="F14" s="207"/>
      <c r="G14" s="207" t="s">
        <v>1</v>
      </c>
      <c r="H14" s="207"/>
      <c r="I14" s="208"/>
      <c r="J14" s="207"/>
      <c r="K14" s="207" t="s">
        <v>1</v>
      </c>
      <c r="L14" s="207"/>
      <c r="M14" s="208"/>
      <c r="N14" s="207"/>
      <c r="O14" s="207" t="s">
        <v>1</v>
      </c>
      <c r="P14" s="207"/>
      <c r="Q14" s="208"/>
      <c r="R14" s="207"/>
      <c r="S14" s="207" t="s">
        <v>1</v>
      </c>
      <c r="T14" s="208"/>
      <c r="U14" s="208"/>
    </row>
    <row r="15" spans="1:21" s="195" customFormat="1" ht="12" customHeight="1" x14ac:dyDescent="0.2">
      <c r="A15" s="36" t="s">
        <v>104</v>
      </c>
      <c r="B15" s="208">
        <f>B13*B14</f>
        <v>0</v>
      </c>
      <c r="C15" s="208" t="s">
        <v>0</v>
      </c>
      <c r="D15" s="208"/>
      <c r="E15" s="208"/>
      <c r="F15" s="208">
        <f>F13*F14</f>
        <v>0</v>
      </c>
      <c r="G15" s="208" t="s">
        <v>0</v>
      </c>
      <c r="H15" s="208"/>
      <c r="I15" s="208"/>
      <c r="J15" s="208">
        <f>J13*J14</f>
        <v>0</v>
      </c>
      <c r="K15" s="208" t="s">
        <v>0</v>
      </c>
      <c r="L15" s="208"/>
      <c r="M15" s="208"/>
      <c r="N15" s="208">
        <f>N13*N14</f>
        <v>0</v>
      </c>
      <c r="O15" s="208" t="s">
        <v>0</v>
      </c>
      <c r="P15" s="208"/>
      <c r="Q15" s="208"/>
      <c r="R15" s="208">
        <f>R13*R14</f>
        <v>0</v>
      </c>
      <c r="S15" s="207" t="s">
        <v>0</v>
      </c>
      <c r="T15" s="208"/>
      <c r="U15" s="208"/>
    </row>
    <row r="16" spans="1:21" s="195" customFormat="1" ht="12" customHeight="1" x14ac:dyDescent="0.2">
      <c r="A16" s="36" t="s">
        <v>105</v>
      </c>
      <c r="B16" s="208">
        <f>MAX(0,B15-B18-D18)</f>
        <v>0</v>
      </c>
      <c r="C16" s="208" t="s">
        <v>0</v>
      </c>
      <c r="D16" s="208"/>
      <c r="E16" s="208"/>
      <c r="F16" s="208">
        <f>MAX(0,F15-F18-H18)</f>
        <v>0</v>
      </c>
      <c r="G16" s="208" t="s">
        <v>0</v>
      </c>
      <c r="H16" s="208"/>
      <c r="I16" s="208"/>
      <c r="J16" s="208">
        <f>MAX(0,J15-J18-L18)</f>
        <v>0</v>
      </c>
      <c r="K16" s="208" t="s">
        <v>0</v>
      </c>
      <c r="L16" s="208"/>
      <c r="M16" s="208"/>
      <c r="N16" s="208">
        <f>MAX(0,N15-N18-P18)</f>
        <v>0</v>
      </c>
      <c r="O16" s="208" t="s">
        <v>0</v>
      </c>
      <c r="P16" s="210"/>
      <c r="Q16" s="210"/>
      <c r="R16" s="208">
        <f>MAX(0,R15-R18-T18)</f>
        <v>0</v>
      </c>
      <c r="S16" s="207" t="s">
        <v>0</v>
      </c>
      <c r="T16" s="208"/>
      <c r="U16" s="208"/>
    </row>
    <row r="17" spans="1:21" s="195" customFormat="1" ht="12" customHeight="1" x14ac:dyDescent="0.2">
      <c r="A17" s="75"/>
      <c r="B17" s="215" t="s">
        <v>123</v>
      </c>
      <c r="C17" s="84"/>
      <c r="D17" s="215" t="s">
        <v>124</v>
      </c>
      <c r="E17" s="84"/>
      <c r="F17" s="215" t="s">
        <v>123</v>
      </c>
      <c r="G17" s="84"/>
      <c r="H17" s="215" t="s">
        <v>124</v>
      </c>
      <c r="I17" s="84"/>
      <c r="J17" s="215" t="s">
        <v>123</v>
      </c>
      <c r="K17" s="84"/>
      <c r="L17" s="215" t="s">
        <v>124</v>
      </c>
      <c r="M17" s="84"/>
      <c r="N17" s="215" t="s">
        <v>123</v>
      </c>
      <c r="O17" s="84"/>
      <c r="P17" s="215" t="s">
        <v>124</v>
      </c>
      <c r="Q17" s="84"/>
      <c r="R17" s="215" t="s">
        <v>123</v>
      </c>
      <c r="S17" s="84"/>
      <c r="T17" s="215" t="s">
        <v>124</v>
      </c>
      <c r="U17" s="84"/>
    </row>
    <row r="18" spans="1:21" s="195" customFormat="1" ht="12" customHeight="1" x14ac:dyDescent="0.25">
      <c r="A18" s="36" t="s">
        <v>218</v>
      </c>
      <c r="B18" s="209"/>
      <c r="C18" s="208" t="s">
        <v>0</v>
      </c>
      <c r="D18" s="210"/>
      <c r="E18" s="208" t="s">
        <v>0</v>
      </c>
      <c r="F18" s="210"/>
      <c r="G18" s="208" t="s">
        <v>0</v>
      </c>
      <c r="H18" s="210"/>
      <c r="I18" s="208" t="s">
        <v>0</v>
      </c>
      <c r="J18" s="210"/>
      <c r="K18" s="208" t="s">
        <v>0</v>
      </c>
      <c r="L18" s="210"/>
      <c r="M18" s="208" t="s">
        <v>0</v>
      </c>
      <c r="N18" s="210"/>
      <c r="O18" s="208" t="s">
        <v>0</v>
      </c>
      <c r="P18" s="210"/>
      <c r="Q18" s="208" t="s">
        <v>0</v>
      </c>
      <c r="R18" s="210"/>
      <c r="S18" s="208" t="s">
        <v>0</v>
      </c>
      <c r="T18" s="210"/>
      <c r="U18" s="208" t="s">
        <v>0</v>
      </c>
    </row>
    <row r="19" spans="1:21" s="195" customFormat="1" ht="12" customHeight="1" x14ac:dyDescent="0.25">
      <c r="A19" s="36" t="s">
        <v>134</v>
      </c>
      <c r="B19" s="209"/>
      <c r="C19" s="208" t="s">
        <v>98</v>
      </c>
      <c r="D19" s="210"/>
      <c r="E19" s="208" t="s">
        <v>98</v>
      </c>
      <c r="F19" s="210"/>
      <c r="G19" s="208" t="s">
        <v>98</v>
      </c>
      <c r="H19" s="210"/>
      <c r="I19" s="208" t="s">
        <v>98</v>
      </c>
      <c r="J19" s="210"/>
      <c r="K19" s="208" t="s">
        <v>98</v>
      </c>
      <c r="L19" s="210"/>
      <c r="M19" s="208" t="s">
        <v>98</v>
      </c>
      <c r="N19" s="210"/>
      <c r="O19" s="208" t="s">
        <v>98</v>
      </c>
      <c r="P19" s="210"/>
      <c r="Q19" s="208" t="s">
        <v>98</v>
      </c>
      <c r="R19" s="210"/>
      <c r="S19" s="208" t="s">
        <v>98</v>
      </c>
      <c r="T19" s="210"/>
      <c r="U19" s="208" t="s">
        <v>98</v>
      </c>
    </row>
    <row r="20" spans="1:21" s="195" customFormat="1" ht="12" customHeight="1" x14ac:dyDescent="0.2">
      <c r="A20" s="66" t="s">
        <v>221</v>
      </c>
      <c r="B20" s="209">
        <v>1</v>
      </c>
      <c r="C20" s="208"/>
      <c r="D20" s="210">
        <v>1</v>
      </c>
      <c r="E20" s="208"/>
      <c r="F20" s="210">
        <v>1</v>
      </c>
      <c r="G20" s="208"/>
      <c r="H20" s="210">
        <v>1</v>
      </c>
      <c r="I20" s="208"/>
      <c r="J20" s="210">
        <v>1</v>
      </c>
      <c r="K20" s="208"/>
      <c r="L20" s="210">
        <v>1</v>
      </c>
      <c r="M20" s="208"/>
      <c r="N20" s="210">
        <v>1</v>
      </c>
      <c r="O20" s="207"/>
      <c r="P20" s="210">
        <v>1</v>
      </c>
      <c r="Q20" s="208"/>
      <c r="R20" s="210">
        <v>1</v>
      </c>
      <c r="S20" s="207"/>
      <c r="T20" s="210">
        <v>1</v>
      </c>
      <c r="U20" s="208"/>
    </row>
    <row r="21" spans="1:21" s="195" customFormat="1" ht="12" customHeight="1" x14ac:dyDescent="0.2">
      <c r="A21" s="67" t="s">
        <v>219</v>
      </c>
      <c r="B21" s="220" t="s">
        <v>111</v>
      </c>
      <c r="C21" s="212"/>
      <c r="D21" s="220" t="s">
        <v>111</v>
      </c>
      <c r="E21" s="212"/>
      <c r="F21" s="220" t="s">
        <v>111</v>
      </c>
      <c r="G21" s="212"/>
      <c r="H21" s="220" t="s">
        <v>111</v>
      </c>
      <c r="I21" s="212"/>
      <c r="J21" s="220" t="s">
        <v>111</v>
      </c>
      <c r="K21" s="212"/>
      <c r="L21" s="220" t="s">
        <v>111</v>
      </c>
      <c r="M21" s="212"/>
      <c r="N21" s="220" t="s">
        <v>111</v>
      </c>
      <c r="O21" s="213"/>
      <c r="P21" s="220" t="s">
        <v>111</v>
      </c>
      <c r="Q21" s="212"/>
      <c r="R21" s="220" t="s">
        <v>111</v>
      </c>
      <c r="S21" s="213"/>
      <c r="T21" s="220" t="s">
        <v>111</v>
      </c>
      <c r="U21" s="208"/>
    </row>
    <row r="22" spans="1:21" s="195" customFormat="1" ht="68.25" customHeight="1" x14ac:dyDescent="0.2">
      <c r="A22" s="85"/>
      <c r="B22" s="208"/>
      <c r="C22" s="208"/>
      <c r="D22" s="208"/>
      <c r="E22" s="208"/>
      <c r="F22" s="208"/>
      <c r="G22" s="208"/>
      <c r="H22" s="208"/>
      <c r="I22" s="208"/>
      <c r="J22" s="208"/>
      <c r="K22" s="208"/>
      <c r="L22" s="208"/>
      <c r="M22" s="208"/>
      <c r="N22" s="208"/>
      <c r="O22" s="208"/>
      <c r="P22" s="208"/>
      <c r="Q22" s="208"/>
      <c r="R22" s="208"/>
      <c r="S22" s="207"/>
      <c r="T22" s="208"/>
      <c r="U22" s="208"/>
    </row>
    <row r="23" spans="1:21" s="195" customFormat="1" x14ac:dyDescent="0.2">
      <c r="A23" s="85"/>
      <c r="B23" s="215" t="s">
        <v>166</v>
      </c>
      <c r="C23" s="208"/>
      <c r="D23" s="215" t="s">
        <v>166</v>
      </c>
      <c r="E23" s="208"/>
      <c r="F23" s="215" t="s">
        <v>166</v>
      </c>
      <c r="G23" s="208"/>
      <c r="H23" s="215" t="s">
        <v>166</v>
      </c>
      <c r="I23" s="208"/>
      <c r="J23" s="215" t="s">
        <v>166</v>
      </c>
      <c r="K23" s="208"/>
      <c r="L23" s="215" t="s">
        <v>166</v>
      </c>
      <c r="M23" s="208"/>
      <c r="N23" s="215" t="s">
        <v>166</v>
      </c>
      <c r="O23" s="208"/>
      <c r="P23" s="215" t="s">
        <v>166</v>
      </c>
      <c r="Q23" s="208"/>
      <c r="R23" s="215"/>
      <c r="S23" s="208"/>
      <c r="T23" s="215"/>
      <c r="U23" s="208"/>
    </row>
    <row r="24" spans="1:21" s="195" customFormat="1" ht="12" customHeight="1" x14ac:dyDescent="0.2">
      <c r="A24" s="86" t="s">
        <v>120</v>
      </c>
      <c r="B24" s="216">
        <v>0</v>
      </c>
      <c r="C24" s="87" t="s">
        <v>1</v>
      </c>
      <c r="D24" s="216">
        <v>0</v>
      </c>
      <c r="E24" s="87" t="s">
        <v>1</v>
      </c>
      <c r="F24" s="216">
        <v>0</v>
      </c>
      <c r="G24" s="87" t="s">
        <v>1</v>
      </c>
      <c r="H24" s="216">
        <v>0</v>
      </c>
      <c r="I24" s="87" t="s">
        <v>1</v>
      </c>
      <c r="J24" s="216">
        <v>0</v>
      </c>
      <c r="K24" s="87" t="s">
        <v>1</v>
      </c>
      <c r="L24" s="216">
        <v>0</v>
      </c>
      <c r="M24" s="87" t="s">
        <v>1</v>
      </c>
      <c r="N24" s="216">
        <v>0</v>
      </c>
      <c r="O24" s="87" t="s">
        <v>1</v>
      </c>
      <c r="P24" s="216">
        <v>0</v>
      </c>
      <c r="Q24" s="87" t="s">
        <v>1</v>
      </c>
      <c r="R24" s="216">
        <v>0</v>
      </c>
      <c r="S24" s="87"/>
      <c r="T24" s="216">
        <v>0</v>
      </c>
      <c r="U24" s="87" t="s">
        <v>1</v>
      </c>
    </row>
    <row r="25" spans="1:21" s="195" customFormat="1" ht="12" customHeight="1" x14ac:dyDescent="0.2">
      <c r="A25" s="88" t="s">
        <v>121</v>
      </c>
      <c r="B25" s="216">
        <v>0</v>
      </c>
      <c r="C25" s="87" t="s">
        <v>1</v>
      </c>
      <c r="D25" s="216">
        <v>0</v>
      </c>
      <c r="E25" s="87" t="s">
        <v>1</v>
      </c>
      <c r="F25" s="216">
        <v>0</v>
      </c>
      <c r="G25" s="87" t="s">
        <v>1</v>
      </c>
      <c r="H25" s="216">
        <v>0</v>
      </c>
      <c r="I25" s="87" t="s">
        <v>1</v>
      </c>
      <c r="J25" s="216">
        <v>0</v>
      </c>
      <c r="K25" s="87" t="s">
        <v>1</v>
      </c>
      <c r="L25" s="216">
        <v>0</v>
      </c>
      <c r="M25" s="87" t="s">
        <v>1</v>
      </c>
      <c r="N25" s="216">
        <v>0</v>
      </c>
      <c r="O25" s="87" t="s">
        <v>1</v>
      </c>
      <c r="P25" s="216">
        <v>0</v>
      </c>
      <c r="Q25" s="87" t="s">
        <v>1</v>
      </c>
      <c r="R25" s="216">
        <v>0</v>
      </c>
      <c r="S25" s="87"/>
      <c r="T25" s="216">
        <v>0</v>
      </c>
      <c r="U25" s="87" t="s">
        <v>1</v>
      </c>
    </row>
    <row r="26" spans="1:21" s="195" customFormat="1" ht="12" customHeight="1" x14ac:dyDescent="0.2">
      <c r="A26" s="89" t="s">
        <v>163</v>
      </c>
      <c r="B26" s="217">
        <f>IFERROR(180/PI()*ATAN(B24/B25),0)</f>
        <v>0</v>
      </c>
      <c r="C26" s="90" t="s">
        <v>103</v>
      </c>
      <c r="D26" s="217">
        <f>IFERROR(180/PI()*ATAN(D24/D25),0)</f>
        <v>0</v>
      </c>
      <c r="E26" s="90" t="s">
        <v>103</v>
      </c>
      <c r="F26" s="217">
        <f>IFERROR(180/PI()*ATAN(F24/F25),0)</f>
        <v>0</v>
      </c>
      <c r="G26" s="90" t="s">
        <v>103</v>
      </c>
      <c r="H26" s="217">
        <f>IFERROR(180/PI()*ATAN(H24/H25),0)</f>
        <v>0</v>
      </c>
      <c r="I26" s="90" t="s">
        <v>103</v>
      </c>
      <c r="J26" s="217">
        <f>IFERROR(180/PI()*ATAN(J24/J25),0)</f>
        <v>0</v>
      </c>
      <c r="K26" s="90" t="s">
        <v>103</v>
      </c>
      <c r="L26" s="217">
        <f>IFERROR(180/PI()*ATAN(L24/L25),0)</f>
        <v>0</v>
      </c>
      <c r="M26" s="90" t="s">
        <v>103</v>
      </c>
      <c r="N26" s="217">
        <f>IFERROR(180/PI()*ATAN(N24/N25),0)</f>
        <v>0</v>
      </c>
      <c r="O26" s="90" t="s">
        <v>103</v>
      </c>
      <c r="P26" s="217">
        <f>IFERROR(180/PI()*ATAN(P24/P25),0)</f>
        <v>0</v>
      </c>
      <c r="Q26" s="90" t="s">
        <v>103</v>
      </c>
      <c r="R26" s="217"/>
      <c r="S26" s="90"/>
      <c r="T26" s="217"/>
      <c r="U26" s="90" t="s">
        <v>103</v>
      </c>
    </row>
    <row r="27" spans="1:21" s="195" customFormat="1" ht="12" customHeight="1" x14ac:dyDescent="0.2">
      <c r="A27" s="89" t="s">
        <v>119</v>
      </c>
      <c r="B27" s="216">
        <f>IFERROR(B24/B25,1)</f>
        <v>1</v>
      </c>
      <c r="C27" s="87"/>
      <c r="D27" s="216">
        <f>IFERROR(D24/D25,1)</f>
        <v>1</v>
      </c>
      <c r="E27" s="87"/>
      <c r="F27" s="216">
        <f>IFERROR(F24/F25,1)</f>
        <v>1</v>
      </c>
      <c r="G27" s="87"/>
      <c r="H27" s="216">
        <f>IFERROR(H24/H25,1)</f>
        <v>1</v>
      </c>
      <c r="I27" s="87"/>
      <c r="J27" s="216">
        <f>IFERROR(J24/J25,1)</f>
        <v>1</v>
      </c>
      <c r="K27" s="87"/>
      <c r="L27" s="216">
        <f>IFERROR(L24/L25,1)</f>
        <v>1</v>
      </c>
      <c r="M27" s="87"/>
      <c r="N27" s="216">
        <f>IFERROR(N24/N25,1)</f>
        <v>1</v>
      </c>
      <c r="O27" s="87"/>
      <c r="P27" s="216">
        <f>IFERROR(P24/P25,1)</f>
        <v>1</v>
      </c>
      <c r="Q27" s="87"/>
      <c r="R27" s="216"/>
      <c r="S27" s="87"/>
      <c r="T27" s="216"/>
      <c r="U27" s="87"/>
    </row>
    <row r="28" spans="1:21" s="195" customFormat="1" ht="101.25" customHeight="1" x14ac:dyDescent="0.2">
      <c r="A28" s="91"/>
      <c r="B28" s="208"/>
      <c r="C28" s="208"/>
      <c r="D28" s="208"/>
      <c r="E28" s="208"/>
      <c r="F28" s="208"/>
      <c r="G28" s="208"/>
      <c r="H28" s="208"/>
      <c r="I28" s="208"/>
      <c r="J28" s="208"/>
      <c r="K28" s="208"/>
      <c r="L28" s="208"/>
      <c r="M28" s="208"/>
      <c r="N28" s="208"/>
      <c r="O28" s="208"/>
      <c r="P28" s="208"/>
      <c r="Q28" s="208"/>
      <c r="R28" s="215"/>
      <c r="S28" s="215"/>
      <c r="T28" s="215"/>
      <c r="U28" s="208"/>
    </row>
    <row r="29" spans="1:21" s="195" customFormat="1" x14ac:dyDescent="0.2">
      <c r="A29" s="91"/>
      <c r="B29" s="215" t="s">
        <v>113</v>
      </c>
      <c r="C29" s="208"/>
      <c r="D29" s="215" t="s">
        <v>113</v>
      </c>
      <c r="E29" s="208"/>
      <c r="F29" s="215" t="s">
        <v>113</v>
      </c>
      <c r="G29" s="208"/>
      <c r="H29" s="215" t="s">
        <v>113</v>
      </c>
      <c r="I29" s="208"/>
      <c r="J29" s="215" t="s">
        <v>113</v>
      </c>
      <c r="K29" s="208"/>
      <c r="L29" s="215" t="s">
        <v>113</v>
      </c>
      <c r="M29" s="208"/>
      <c r="N29" s="215" t="s">
        <v>113</v>
      </c>
      <c r="O29" s="208"/>
      <c r="P29" s="215" t="s">
        <v>113</v>
      </c>
      <c r="Q29" s="208"/>
      <c r="R29" s="215"/>
      <c r="S29" s="215"/>
      <c r="T29" s="215"/>
      <c r="U29" s="208"/>
    </row>
    <row r="30" spans="1:21" s="195" customFormat="1" ht="12" customHeight="1" x14ac:dyDescent="0.2">
      <c r="A30" s="89" t="s">
        <v>158</v>
      </c>
      <c r="B30" s="216" t="s">
        <v>252</v>
      </c>
      <c r="C30" s="87"/>
      <c r="D30" s="216" t="s">
        <v>252</v>
      </c>
      <c r="E30" s="87"/>
      <c r="F30" s="216" t="s">
        <v>252</v>
      </c>
      <c r="G30" s="87"/>
      <c r="H30" s="216" t="s">
        <v>252</v>
      </c>
      <c r="I30" s="87"/>
      <c r="J30" s="216" t="s">
        <v>252</v>
      </c>
      <c r="K30" s="87"/>
      <c r="L30" s="216" t="s">
        <v>252</v>
      </c>
      <c r="M30" s="87"/>
      <c r="N30" s="216" t="s">
        <v>252</v>
      </c>
      <c r="O30" s="87"/>
      <c r="P30" s="216" t="s">
        <v>252</v>
      </c>
      <c r="Q30" s="87"/>
      <c r="R30" s="215" t="s">
        <v>252</v>
      </c>
      <c r="S30" s="215"/>
      <c r="T30" s="215" t="s">
        <v>252</v>
      </c>
      <c r="U30" s="87"/>
    </row>
    <row r="31" spans="1:21" s="195" customFormat="1" ht="12" customHeight="1" x14ac:dyDescent="0.2">
      <c r="A31" s="89" t="s">
        <v>155</v>
      </c>
      <c r="B31" s="216">
        <v>0</v>
      </c>
      <c r="C31" s="87" t="s">
        <v>1</v>
      </c>
      <c r="D31" s="216">
        <v>0</v>
      </c>
      <c r="E31" s="87" t="s">
        <v>1</v>
      </c>
      <c r="F31" s="216">
        <v>0</v>
      </c>
      <c r="G31" s="87" t="s">
        <v>1</v>
      </c>
      <c r="H31" s="216">
        <v>0</v>
      </c>
      <c r="I31" s="87" t="s">
        <v>1</v>
      </c>
      <c r="J31" s="216">
        <v>0</v>
      </c>
      <c r="K31" s="87" t="s">
        <v>1</v>
      </c>
      <c r="L31" s="216">
        <v>0</v>
      </c>
      <c r="M31" s="87" t="s">
        <v>1</v>
      </c>
      <c r="N31" s="216">
        <v>0</v>
      </c>
      <c r="O31" s="87" t="s">
        <v>1</v>
      </c>
      <c r="P31" s="216">
        <v>0</v>
      </c>
      <c r="Q31" s="87" t="s">
        <v>1</v>
      </c>
      <c r="R31" s="215">
        <v>0</v>
      </c>
      <c r="S31" s="215"/>
      <c r="T31" s="215">
        <v>0</v>
      </c>
      <c r="U31" s="87" t="s">
        <v>1</v>
      </c>
    </row>
    <row r="32" spans="1:21" s="195" customFormat="1" ht="12" customHeight="1" x14ac:dyDescent="0.2">
      <c r="A32" s="89" t="s">
        <v>156</v>
      </c>
      <c r="B32" s="216">
        <v>0</v>
      </c>
      <c r="C32" s="90" t="s">
        <v>1</v>
      </c>
      <c r="D32" s="216">
        <v>0</v>
      </c>
      <c r="E32" s="90" t="s">
        <v>1</v>
      </c>
      <c r="F32" s="216">
        <v>0</v>
      </c>
      <c r="G32" s="90" t="s">
        <v>1</v>
      </c>
      <c r="H32" s="216">
        <v>0</v>
      </c>
      <c r="I32" s="90" t="s">
        <v>1</v>
      </c>
      <c r="J32" s="216">
        <v>0</v>
      </c>
      <c r="K32" s="90" t="s">
        <v>1</v>
      </c>
      <c r="L32" s="216">
        <v>0</v>
      </c>
      <c r="M32" s="90" t="s">
        <v>1</v>
      </c>
      <c r="N32" s="216">
        <v>0</v>
      </c>
      <c r="O32" s="90" t="s">
        <v>1</v>
      </c>
      <c r="P32" s="216">
        <v>0</v>
      </c>
      <c r="Q32" s="90" t="s">
        <v>1</v>
      </c>
      <c r="R32" s="215">
        <v>0</v>
      </c>
      <c r="S32" s="215"/>
      <c r="T32" s="215">
        <v>0</v>
      </c>
      <c r="U32" s="87" t="s">
        <v>1</v>
      </c>
    </row>
    <row r="33" spans="1:21" s="195" customFormat="1" ht="12" customHeight="1" x14ac:dyDescent="0.25">
      <c r="A33" s="89" t="s">
        <v>157</v>
      </c>
      <c r="B33" s="216">
        <f>IFERROR(B31/B32,999)</f>
        <v>999</v>
      </c>
      <c r="C33" s="87"/>
      <c r="D33" s="216">
        <f>IFERROR(D31/D32,999)</f>
        <v>999</v>
      </c>
      <c r="E33" s="87"/>
      <c r="F33" s="216">
        <f>IFERROR(F31/F32,999)</f>
        <v>999</v>
      </c>
      <c r="G33" s="87"/>
      <c r="H33" s="216">
        <f>IFERROR(H31/H32,999)</f>
        <v>999</v>
      </c>
      <c r="I33" s="87"/>
      <c r="J33" s="216">
        <f>IFERROR(J31/J32,999)</f>
        <v>999</v>
      </c>
      <c r="K33" s="87"/>
      <c r="L33" s="216">
        <f>IFERROR(L31/L32,999)</f>
        <v>999</v>
      </c>
      <c r="M33" s="87"/>
      <c r="N33" s="216">
        <f>IFERROR(N31/N32,999)</f>
        <v>999</v>
      </c>
      <c r="O33" s="87"/>
      <c r="P33" s="216">
        <f>IFERROR(P31/P32,999)</f>
        <v>999</v>
      </c>
      <c r="Q33" s="87"/>
      <c r="R33" s="215"/>
      <c r="S33" s="215"/>
      <c r="T33" s="215"/>
      <c r="U33" s="87"/>
    </row>
    <row r="34" spans="1:21" s="195" customFormat="1" x14ac:dyDescent="0.2">
      <c r="A34" s="75"/>
      <c r="B34" s="84"/>
      <c r="C34" s="84"/>
      <c r="D34" s="84"/>
      <c r="E34" s="84"/>
      <c r="F34" s="84"/>
      <c r="G34" s="84"/>
      <c r="H34" s="84"/>
      <c r="I34" s="84"/>
      <c r="J34" s="84"/>
      <c r="K34" s="84"/>
      <c r="L34" s="84"/>
      <c r="M34" s="84"/>
      <c r="N34" s="84"/>
      <c r="O34" s="84"/>
      <c r="P34" s="84"/>
      <c r="Q34" s="84"/>
      <c r="R34" s="84"/>
      <c r="S34" s="84"/>
      <c r="T34" s="84"/>
      <c r="U34" s="84"/>
    </row>
    <row r="35" spans="1:21" s="195" customFormat="1" ht="12" customHeight="1" x14ac:dyDescent="0.25">
      <c r="A35" s="36" t="s">
        <v>135</v>
      </c>
      <c r="B35" s="216" cm="1">
        <f t="array" ref="B35">IFERROR(o_Beschaduwingreductie(B21,B8,B27,B30,B33,B11),1)</f>
        <v>1</v>
      </c>
      <c r="C35" s="208"/>
      <c r="D35" s="216" cm="1">
        <f t="array" ref="D35">IFERROR(o_Beschaduwingreductie(D21,B8,D27,D30,D33,B11),1)</f>
        <v>1</v>
      </c>
      <c r="E35" s="208"/>
      <c r="F35" s="216" cm="1">
        <f t="array" ref="F35">IFERROR(o_Beschaduwingreductie(F21,F8,F27,F30,F33,F11),1)</f>
        <v>1</v>
      </c>
      <c r="G35" s="208"/>
      <c r="H35" s="216" cm="1">
        <f t="array" ref="H35">IFERROR(o_Beschaduwingreductie(H21,F8,H27,H30,H33,F11),1)</f>
        <v>1</v>
      </c>
      <c r="I35" s="208"/>
      <c r="J35" s="216" cm="1">
        <f t="array" ref="J35">IFERROR(o_Beschaduwingreductie(J21,J8,J27,J30,J33,J11),1)</f>
        <v>1</v>
      </c>
      <c r="K35" s="208"/>
      <c r="L35" s="216" cm="1">
        <f t="array" ref="L35">IFERROR(o_Beschaduwingreductie(L21,J8,L27,L30,L33,J11),1)</f>
        <v>1</v>
      </c>
      <c r="M35" s="208"/>
      <c r="N35" s="216" cm="1">
        <f t="array" ref="N35">IFERROR(o_Beschaduwingreductie(N21,N8,N27,N30,N33,N11),1)</f>
        <v>1</v>
      </c>
      <c r="O35" s="208"/>
      <c r="P35" s="216" cm="1">
        <f t="array" ref="P35">IFERROR(o_Beschaduwingreductie(P21,N8,P27,P30,P33,N11),1)</f>
        <v>1</v>
      </c>
      <c r="Q35" s="208"/>
      <c r="R35" s="159" cm="1">
        <f t="array" ref="R35">o_Beschaduwingreductie(R21,R8,R27,R30,R33,R11)</f>
        <v>1</v>
      </c>
      <c r="S35" s="207"/>
      <c r="T35" s="216" cm="1">
        <f t="array" ref="T35">o_Beschaduwingreductie(T21,R8,T27,T30,T33,R11)</f>
        <v>1</v>
      </c>
      <c r="U35" s="208"/>
    </row>
    <row r="36" spans="1:21" s="195" customFormat="1" x14ac:dyDescent="0.2">
      <c r="A36" s="75"/>
      <c r="B36" s="84"/>
      <c r="C36" s="84"/>
      <c r="D36" s="84"/>
      <c r="E36" s="84"/>
      <c r="F36" s="84"/>
      <c r="G36" s="84"/>
      <c r="H36" s="84"/>
      <c r="I36" s="84"/>
      <c r="J36" s="84"/>
      <c r="K36" s="84"/>
      <c r="L36" s="84"/>
      <c r="M36" s="84"/>
      <c r="N36" s="84"/>
      <c r="O36" s="84"/>
      <c r="P36" s="84"/>
      <c r="Q36" s="84"/>
      <c r="R36" s="84"/>
      <c r="S36" s="84"/>
      <c r="T36" s="84"/>
      <c r="U36" s="84"/>
    </row>
    <row r="37" spans="1:21" s="195" customFormat="1" ht="12" customHeight="1" x14ac:dyDescent="0.2">
      <c r="A37" s="36" t="s">
        <v>82</v>
      </c>
      <c r="B37" s="220" t="s">
        <v>84</v>
      </c>
      <c r="C37" s="218"/>
      <c r="D37" s="220" t="s">
        <v>84</v>
      </c>
      <c r="E37" s="212"/>
      <c r="F37" s="220" t="s">
        <v>84</v>
      </c>
      <c r="G37" s="218"/>
      <c r="H37" s="220" t="s">
        <v>84</v>
      </c>
      <c r="I37" s="212"/>
      <c r="J37" s="220" t="s">
        <v>84</v>
      </c>
      <c r="K37" s="218"/>
      <c r="L37" s="220" t="s">
        <v>84</v>
      </c>
      <c r="M37" s="212"/>
      <c r="N37" s="220" t="s">
        <v>84</v>
      </c>
      <c r="O37" s="218"/>
      <c r="P37" s="220" t="s">
        <v>84</v>
      </c>
      <c r="Q37" s="212"/>
      <c r="R37" s="220" t="s">
        <v>84</v>
      </c>
      <c r="S37" s="218"/>
      <c r="T37" s="220" t="s">
        <v>84</v>
      </c>
      <c r="U37" s="208"/>
    </row>
    <row r="38" spans="1:21" s="195" customFormat="1" ht="12" customHeight="1" x14ac:dyDescent="0.25">
      <c r="A38" s="36" t="s">
        <v>136</v>
      </c>
      <c r="B38" s="159" cm="1">
        <f t="array" ref="B38">o_Zonweringreductie(B37,B8)</f>
        <v>1</v>
      </c>
      <c r="C38" s="208"/>
      <c r="D38" s="159" cm="1">
        <f t="array" ref="D38">o_Zonweringreductie(D37,B8)</f>
        <v>1</v>
      </c>
      <c r="E38" s="208"/>
      <c r="F38" s="159" cm="1">
        <f t="array" ref="F38">o_Zonweringreductie(F37,F8)</f>
        <v>1</v>
      </c>
      <c r="G38" s="208"/>
      <c r="H38" s="159" cm="1">
        <f t="array" ref="H38">o_Zonweringreductie(H37,F8)</f>
        <v>1</v>
      </c>
      <c r="I38" s="208"/>
      <c r="J38" s="159" cm="1">
        <f t="array" ref="J38">o_Zonweringreductie(J37,J8)</f>
        <v>1</v>
      </c>
      <c r="K38" s="208"/>
      <c r="L38" s="159" cm="1">
        <f t="array" ref="L38">o_Zonweringreductie(L37,J8)</f>
        <v>1</v>
      </c>
      <c r="M38" s="208"/>
      <c r="N38" s="159" cm="1">
        <f t="array" ref="N38">o_Zonweringreductie(N37,N8)</f>
        <v>1</v>
      </c>
      <c r="O38" s="208"/>
      <c r="P38" s="159" cm="1">
        <f t="array" ref="P38">o_Zonweringreductie(P37,N8)</f>
        <v>1</v>
      </c>
      <c r="Q38" s="208"/>
      <c r="R38" s="159" cm="1">
        <f t="array" ref="R38">o_Zonweringreductie(R37,R8)</f>
        <v>1</v>
      </c>
      <c r="S38" s="208"/>
      <c r="T38" s="159" cm="1">
        <f t="array" ref="T38">o_Zonweringreductie(T37,R8)</f>
        <v>1</v>
      </c>
      <c r="U38" s="208"/>
    </row>
    <row r="39" spans="1:21" s="195" customFormat="1" ht="12" customHeight="1" x14ac:dyDescent="0.25">
      <c r="A39" s="36" t="s">
        <v>137</v>
      </c>
      <c r="B39" s="159" cm="1">
        <f t="array" ref="B39">IF(B10="Nee",0,o_Isol_Bij_Tijdstip($B$52,B8,B11))</f>
        <v>0</v>
      </c>
      <c r="C39" s="208" t="s">
        <v>12</v>
      </c>
      <c r="D39" s="159" cm="1">
        <f t="array" ref="D39">IF(B10="Nee",0,o_Isol_Bij_Tijdstip($B$52,B8,B11))</f>
        <v>0</v>
      </c>
      <c r="E39" s="208" t="s">
        <v>12</v>
      </c>
      <c r="F39" s="159" cm="1">
        <f t="array" ref="F39">IF(F10="Nee",0,o_Isol_Bij_Tijdstip($B$52,F8,F11))</f>
        <v>0</v>
      </c>
      <c r="G39" s="208" t="s">
        <v>12</v>
      </c>
      <c r="H39" s="159" cm="1">
        <f t="array" ref="H39">IF(F10="Nee",0,o_Isol_Bij_Tijdstip($B$52,F8,F11))</f>
        <v>0</v>
      </c>
      <c r="I39" s="208" t="s">
        <v>12</v>
      </c>
      <c r="J39" s="159" cm="1">
        <f t="array" ref="J39">IF(J10="Nee",0,o_Isol_Bij_Tijdstip($B$52,J8,J11))</f>
        <v>0</v>
      </c>
      <c r="K39" s="208" t="s">
        <v>12</v>
      </c>
      <c r="L39" s="159" cm="1">
        <f t="array" ref="L39">IF(J10="Nee",0,o_Isol_Bij_Tijdstip($B$52,J8,J11))</f>
        <v>0</v>
      </c>
      <c r="M39" s="208" t="s">
        <v>12</v>
      </c>
      <c r="N39" s="159" cm="1">
        <f t="array" ref="N39">IF(N10="Nee",0,o_Isol_Bij_Tijdstip($B$52,N8,N11))</f>
        <v>0</v>
      </c>
      <c r="O39" s="208" t="s">
        <v>12</v>
      </c>
      <c r="P39" s="159" cm="1">
        <f t="array" ref="P39">IF(N10="Nee",0,o_Isol_Bij_Tijdstip($B$52,N8,N11))</f>
        <v>0</v>
      </c>
      <c r="Q39" s="208" t="s">
        <v>12</v>
      </c>
      <c r="R39" s="159" cm="1">
        <f t="array" ref="R39">IF(R10="Nee",0,o_Isol_Bij_Tijdstip($B$52,R8,R11))</f>
        <v>0</v>
      </c>
      <c r="S39" s="208" t="s">
        <v>12</v>
      </c>
      <c r="T39" s="159" cm="1">
        <f t="array" ref="T39">IF(R10="Nee",0,o_Isol_Bij_Tijdstip($B$52,R8,R11))</f>
        <v>0</v>
      </c>
      <c r="U39" s="208" t="s">
        <v>12</v>
      </c>
    </row>
    <row r="40" spans="1:21" s="195" customFormat="1" x14ac:dyDescent="0.2">
      <c r="A40" s="75"/>
      <c r="B40" s="84"/>
      <c r="C40" s="84"/>
      <c r="D40" s="84"/>
      <c r="E40" s="84"/>
      <c r="F40" s="84"/>
      <c r="G40" s="84"/>
      <c r="H40" s="84"/>
      <c r="I40" s="84"/>
      <c r="J40" s="84"/>
      <c r="K40" s="84"/>
      <c r="L40" s="84"/>
      <c r="M40" s="84"/>
      <c r="N40" s="84"/>
      <c r="O40" s="84"/>
      <c r="P40" s="84"/>
      <c r="Q40" s="84"/>
      <c r="R40" s="84"/>
      <c r="S40" s="84"/>
      <c r="T40" s="84"/>
      <c r="U40" s="84"/>
    </row>
    <row r="41" spans="1:21" s="195" customFormat="1" ht="12" customHeight="1" x14ac:dyDescent="0.25">
      <c r="A41" s="66" t="s">
        <v>138</v>
      </c>
      <c r="B41" s="239" t="e" cm="1">
        <f t="array" ref="B41">VALUE(o_Tijdstip_Isol_Max_Orientatie(B8,B11))</f>
        <v>#VALUE!</v>
      </c>
      <c r="C41" s="239"/>
      <c r="D41" s="240"/>
      <c r="E41" s="87"/>
      <c r="F41" s="239" cm="1">
        <f t="array" ref="F41">VALUE(o_Tijdstip_Isol_Max_Orientatie(F8,F11))</f>
        <v>0.375</v>
      </c>
      <c r="G41" s="239"/>
      <c r="H41" s="240"/>
      <c r="I41" s="87"/>
      <c r="J41" s="239" cm="1">
        <f t="array" ref="J41">VALUE(o_Tijdstip_Isol_Max_Orientatie(J8,J11))</f>
        <v>0.58333333333333337</v>
      </c>
      <c r="K41" s="239"/>
      <c r="L41" s="240"/>
      <c r="M41" s="87"/>
      <c r="N41" s="239" cm="1">
        <f t="array" ref="N41">VALUE(o_Tijdstip_Isol_Max_Orientatie(N8,N11))</f>
        <v>0.625</v>
      </c>
      <c r="O41" s="239"/>
      <c r="P41" s="240"/>
      <c r="Q41" s="87"/>
      <c r="R41" s="239" cm="1">
        <f t="array" ref="R41">VALUE(o_Tijdstip_Isol_Max_Orientatie(R8,R11))</f>
        <v>0.5</v>
      </c>
      <c r="S41" s="239"/>
      <c r="T41" s="240"/>
      <c r="U41" s="84"/>
    </row>
    <row r="42" spans="1:21" s="195" customFormat="1" ht="12" customHeight="1" x14ac:dyDescent="0.25">
      <c r="A42" s="66" t="s">
        <v>139</v>
      </c>
      <c r="B42" s="241" t="e" cm="1">
        <f t="array" ref="B42">o_maxTemp(o_Tijdstip_Isol_Max_Orientatie(B8,B11))</f>
        <v>#VALUE!</v>
      </c>
      <c r="C42" s="241"/>
      <c r="D42" s="241"/>
      <c r="E42" s="207" t="s">
        <v>2</v>
      </c>
      <c r="F42" s="241" cm="1">
        <f t="array" ref="F42">o_maxTemp(o_Tijdstip_Isol_Max_Orientatie(F8,F11))</f>
        <v>24.7</v>
      </c>
      <c r="G42" s="241"/>
      <c r="H42" s="241"/>
      <c r="I42" s="207" t="s">
        <v>2</v>
      </c>
      <c r="J42" s="241" cm="1">
        <f t="array" ref="J42">o_maxTemp(o_Tijdstip_Isol_Max_Orientatie(J8,J11))</f>
        <v>29.9</v>
      </c>
      <c r="K42" s="241"/>
      <c r="L42" s="241"/>
      <c r="M42" s="207" t="s">
        <v>2</v>
      </c>
      <c r="N42" s="241" cm="1">
        <f t="array" ref="N42">o_maxTemp(o_Tijdstip_Isol_Max_Orientatie(N8,N11))</f>
        <v>29.8</v>
      </c>
      <c r="O42" s="241"/>
      <c r="P42" s="241"/>
      <c r="Q42" s="207" t="s">
        <v>2</v>
      </c>
      <c r="R42" s="241" cm="1">
        <f t="array" ref="R42">o_maxTemp(o_Tijdstip_Isol_Max_Orientatie(R8,R11))</f>
        <v>28.9</v>
      </c>
      <c r="S42" s="241"/>
      <c r="T42" s="241"/>
      <c r="U42" s="84"/>
    </row>
    <row r="43" spans="1:21" s="195" customFormat="1" ht="12" customHeight="1" x14ac:dyDescent="0.2">
      <c r="A43" s="75"/>
      <c r="B43" s="75"/>
      <c r="C43" s="75"/>
      <c r="D43" s="75"/>
      <c r="E43" s="35"/>
      <c r="F43" s="75"/>
      <c r="G43" s="75"/>
      <c r="H43" s="75"/>
      <c r="I43" s="75"/>
      <c r="J43" s="75"/>
      <c r="K43" s="75"/>
      <c r="L43" s="75"/>
      <c r="M43" s="75"/>
      <c r="N43" s="75"/>
      <c r="O43" s="75"/>
      <c r="P43" s="75"/>
      <c r="Q43" s="75"/>
      <c r="R43" s="75"/>
      <c r="S43" s="75"/>
      <c r="T43" s="84"/>
      <c r="U43" s="84"/>
    </row>
    <row r="44" spans="1:21" s="195" customFormat="1" ht="12" hidden="1" customHeight="1" x14ac:dyDescent="0.2">
      <c r="A44" s="92" t="s">
        <v>169</v>
      </c>
      <c r="B44" s="96">
        <f>IF(B10="Ja",B18+D18,0)</f>
        <v>0</v>
      </c>
      <c r="C44" s="35" t="s">
        <v>0</v>
      </c>
      <c r="D44" s="75"/>
      <c r="E44" s="35"/>
      <c r="F44" s="96">
        <f>IF(F10="Ja",F18+H18,0)</f>
        <v>0</v>
      </c>
      <c r="G44" s="35" t="s">
        <v>0</v>
      </c>
      <c r="H44" s="75"/>
      <c r="I44" s="75"/>
      <c r="J44" s="96">
        <f>IF(J10="Ja",J18+L18,0)</f>
        <v>0</v>
      </c>
      <c r="K44" s="35" t="s">
        <v>0</v>
      </c>
      <c r="L44" s="75"/>
      <c r="M44" s="75"/>
      <c r="N44" s="96">
        <f>IF(N10="Ja",N18+P18,0)</f>
        <v>0</v>
      </c>
      <c r="O44" s="35" t="s">
        <v>0</v>
      </c>
      <c r="P44" s="75"/>
      <c r="Q44" s="75"/>
      <c r="R44" s="96">
        <f>IF(R10="Ja",R18+T18,0)</f>
        <v>0</v>
      </c>
      <c r="S44" s="35" t="s">
        <v>0</v>
      </c>
      <c r="T44" s="84"/>
      <c r="U44" s="84"/>
    </row>
    <row r="45" spans="1:21" s="195" customFormat="1" ht="12" hidden="1" customHeight="1" x14ac:dyDescent="0.2">
      <c r="A45" s="92" t="s">
        <v>126</v>
      </c>
      <c r="B45" s="93" t="b">
        <f>IF(B10="Ja",IF(B8="Noord",FALSE,TRUE),FALSE)</f>
        <v>0</v>
      </c>
      <c r="C45" s="35"/>
      <c r="D45" s="35"/>
      <c r="E45" s="35"/>
      <c r="F45" s="94" t="b">
        <f>IF(F10="Ja",IF(F8="Noord",FALSE,TRUE),FALSE)</f>
        <v>0</v>
      </c>
      <c r="G45" s="75"/>
      <c r="H45" s="75"/>
      <c r="I45" s="75"/>
      <c r="J45" s="94" t="b">
        <f>IF(J10="Ja",IF(J8="Noord",FALSE,TRUE),FALSE)</f>
        <v>0</v>
      </c>
      <c r="K45" s="75"/>
      <c r="L45" s="75"/>
      <c r="M45" s="75"/>
      <c r="N45" s="94" t="b">
        <f>IF(N10="Ja",IF(N8="Noord",FALSE,TRUE),FALSE)</f>
        <v>0</v>
      </c>
      <c r="O45" s="75"/>
      <c r="P45" s="75"/>
      <c r="Q45" s="75"/>
      <c r="R45" s="94" t="b">
        <f>IF(R10="Ja",IF(R8="Noord",FALSE,TRUE),FALSE)</f>
        <v>0</v>
      </c>
      <c r="S45" s="75"/>
      <c r="T45" s="84"/>
      <c r="U45" s="84"/>
    </row>
    <row r="46" spans="1:21" s="195" customFormat="1" ht="12" hidden="1" customHeight="1" x14ac:dyDescent="0.2">
      <c r="A46" s="92" t="s">
        <v>109</v>
      </c>
      <c r="B46" s="95" t="b">
        <f>IF(AND(B45=TRUE,COUNTIF($B$45:$R$45,TRUE)=1),TRUE,FALSE)</f>
        <v>0</v>
      </c>
      <c r="C46" s="35"/>
      <c r="D46" s="75"/>
      <c r="E46" s="35"/>
      <c r="F46" s="95" t="b">
        <f>IF(AND(F45=TRUE,COUNTIF($B$45:$R$45,TRUE)=1),TRUE,FALSE)</f>
        <v>0</v>
      </c>
      <c r="G46" s="75"/>
      <c r="H46" s="75"/>
      <c r="I46" s="75"/>
      <c r="J46" s="95" t="b">
        <f>IF(AND(J45=TRUE,COUNTIF($B$45:$R$45,TRUE)=1),TRUE,FALSE)</f>
        <v>0</v>
      </c>
      <c r="K46" s="75"/>
      <c r="L46" s="75"/>
      <c r="M46" s="75"/>
      <c r="N46" s="95" t="b">
        <f>IF(AND(N45=TRUE,COUNTIF($B$45:$R$45,TRUE)=1),TRUE,FALSE)</f>
        <v>0</v>
      </c>
      <c r="O46" s="75"/>
      <c r="P46" s="75"/>
      <c r="Q46" s="75"/>
      <c r="R46" s="95" t="b">
        <f>IF(AND(R45=TRUE,COUNTIF($B$45:$R$45,TRUE)=1),TRUE,FALSE)</f>
        <v>0</v>
      </c>
      <c r="S46" s="75"/>
      <c r="T46" s="84"/>
      <c r="U46" s="84"/>
    </row>
    <row r="47" spans="1:21" s="195" customFormat="1" ht="12" hidden="1" customHeight="1" x14ac:dyDescent="0.2">
      <c r="A47" s="92" t="s">
        <v>152</v>
      </c>
      <c r="B47" s="96">
        <f>IF(B8&lt;&gt;"Noord",B44,0)</f>
        <v>0</v>
      </c>
      <c r="C47" s="35" t="s">
        <v>0</v>
      </c>
      <c r="D47" s="75"/>
      <c r="E47" s="35"/>
      <c r="F47" s="96">
        <f>IF(F8&lt;&gt;"Noord",F44,0)</f>
        <v>0</v>
      </c>
      <c r="G47" s="35" t="s">
        <v>0</v>
      </c>
      <c r="H47" s="75"/>
      <c r="I47" s="75"/>
      <c r="J47" s="96">
        <f>IF(J8&lt;&gt;"Noord",J44,0)</f>
        <v>0</v>
      </c>
      <c r="K47" s="35" t="s">
        <v>0</v>
      </c>
      <c r="L47" s="75"/>
      <c r="M47" s="75"/>
      <c r="N47" s="96">
        <f>IF(N8&lt;&gt;"Noord",N44,0)</f>
        <v>0</v>
      </c>
      <c r="O47" s="35" t="s">
        <v>0</v>
      </c>
      <c r="P47" s="75"/>
      <c r="Q47" s="75"/>
      <c r="R47" s="96">
        <f>R44</f>
        <v>0</v>
      </c>
      <c r="S47" s="35" t="s">
        <v>0</v>
      </c>
      <c r="T47" s="84"/>
      <c r="U47" s="84"/>
    </row>
    <row r="48" spans="1:21" s="195" customFormat="1" ht="12" hidden="1" customHeight="1" x14ac:dyDescent="0.2">
      <c r="A48" s="92" t="s">
        <v>153</v>
      </c>
      <c r="B48" s="97" t="b">
        <f>IF(AND(B45,B47=MAX($B$47:$R$47)),TRUE,FALSE)</f>
        <v>0</v>
      </c>
      <c r="C48" s="35"/>
      <c r="D48" s="75"/>
      <c r="E48" s="35"/>
      <c r="F48" s="97" t="b">
        <f>IF(AND(F45,F47=MAX($B$47:$R$47)),TRUE,FALSE)</f>
        <v>0</v>
      </c>
      <c r="G48" s="75"/>
      <c r="H48" s="75"/>
      <c r="I48" s="75"/>
      <c r="J48" s="97" t="b">
        <f>IF(AND(J45,J47=MAX($B$47:$R$47)),TRUE,FALSE)</f>
        <v>0</v>
      </c>
      <c r="K48" s="75"/>
      <c r="L48" s="75"/>
      <c r="M48" s="75"/>
      <c r="N48" s="97" t="b">
        <f>IF(AND(N45,N47=MAX($B$47:$R$47)),TRUE,FALSE)</f>
        <v>0</v>
      </c>
      <c r="O48" s="75"/>
      <c r="P48" s="75"/>
      <c r="Q48" s="75"/>
      <c r="R48" s="97" t="b">
        <f>IF(AND(R45,R47=MAX($B$47:$R$47)),TRUE,FALSE)</f>
        <v>0</v>
      </c>
      <c r="S48" s="75"/>
      <c r="T48" s="84"/>
      <c r="U48" s="84"/>
    </row>
    <row r="49" spans="1:21" s="195" customFormat="1" ht="12" hidden="1" customHeight="1" x14ac:dyDescent="0.2">
      <c r="A49" s="92" t="s">
        <v>125</v>
      </c>
      <c r="B49" s="98" t="e">
        <f>IF(AND(B11&lt;90,B15&gt;3*(B18+D18),'Projectgegevens en Resultaten'!#REF!&lt;65),TRUE,FALSE)</f>
        <v>#REF!</v>
      </c>
      <c r="C49" s="35"/>
      <c r="D49" s="35"/>
      <c r="E49" s="35"/>
      <c r="F49" s="98" t="e">
        <f>IF(AND(F11&lt;90,F15&gt;3*(F18+H18),'Projectgegevens en Resultaten'!#REF!&lt;65),TRUE,FALSE)</f>
        <v>#REF!</v>
      </c>
      <c r="G49" s="75"/>
      <c r="H49" s="75"/>
      <c r="I49" s="75"/>
      <c r="J49" s="98" t="e">
        <f>IF(AND(J11&lt;90,J15&gt;3*(J18+L18),'Projectgegevens en Resultaten'!#REF!&lt;65),TRUE,FALSE)</f>
        <v>#REF!</v>
      </c>
      <c r="K49" s="75"/>
      <c r="L49" s="75"/>
      <c r="M49" s="75"/>
      <c r="N49" s="98" t="e">
        <f>IF(AND(N11&lt;90,N15&gt;3*(N18+P18),'Projectgegevens en Resultaten'!#REF!&lt;65),TRUE,FALSE)</f>
        <v>#REF!</v>
      </c>
      <c r="O49" s="75"/>
      <c r="P49" s="75"/>
      <c r="Q49" s="75"/>
      <c r="R49" s="98" t="e">
        <f>IF(AND(R11&lt;90,R15&gt;3*(R18+T18),'Projectgegevens en Resultaten'!#REF!&lt;65),TRUE,FALSE)</f>
        <v>#REF!</v>
      </c>
      <c r="S49" s="75"/>
      <c r="T49" s="84"/>
      <c r="U49" s="84"/>
    </row>
    <row r="50" spans="1:21" s="195" customFormat="1" ht="12" hidden="1" customHeight="1" x14ac:dyDescent="0.2">
      <c r="A50" s="92" t="s">
        <v>154</v>
      </c>
      <c r="B50" s="98" t="b">
        <f>IF(COUNTIF($B$49:$R$49,TRUE)&gt;0,TRUE,FALSE)</f>
        <v>0</v>
      </c>
      <c r="C50" s="35"/>
      <c r="D50" s="35"/>
      <c r="E50" s="35"/>
      <c r="F50" s="98" t="b">
        <f>IF(COUNTIF($B$49:$R$49,TRUE)&gt;0,TRUE,FALSE)</f>
        <v>0</v>
      </c>
      <c r="G50" s="75"/>
      <c r="H50" s="75"/>
      <c r="I50" s="75"/>
      <c r="J50" s="98" t="b">
        <f>IF(COUNTIF($B$49:$R$49,TRUE)&gt;0,TRUE,FALSE)</f>
        <v>0</v>
      </c>
      <c r="K50" s="75"/>
      <c r="L50" s="75"/>
      <c r="M50" s="75"/>
      <c r="N50" s="98" t="b">
        <f>IF(COUNTIF($B$49:$R$49,TRUE)&gt;0,TRUE,FALSE)</f>
        <v>0</v>
      </c>
      <c r="O50" s="75"/>
      <c r="P50" s="75"/>
      <c r="Q50" s="75"/>
      <c r="R50" s="98" t="b">
        <f>IF(COUNTIF($B$49:$R$49,TRUE)&gt;0,TRUE,FALSE)</f>
        <v>0</v>
      </c>
      <c r="S50" s="75"/>
      <c r="T50" s="84"/>
      <c r="U50" s="84"/>
    </row>
    <row r="51" spans="1:21" s="195" customFormat="1" ht="12" hidden="1" customHeight="1" x14ac:dyDescent="0.2">
      <c r="A51" s="92" t="s">
        <v>151</v>
      </c>
      <c r="B51" s="99" t="e">
        <f>IF(OR(B46,AND(B45,B50,B49),AND(B45,B48,NOT(B50))),B41)</f>
        <v>#REF!</v>
      </c>
      <c r="C51" s="35"/>
      <c r="D51" s="35"/>
      <c r="E51" s="35"/>
      <c r="F51" s="99" t="e">
        <f>IF(OR(F46,AND(F45,F50,F49),AND(F45,F48,NOT(F50))),F41)</f>
        <v>#REF!</v>
      </c>
      <c r="G51" s="75"/>
      <c r="H51" s="35"/>
      <c r="I51" s="75"/>
      <c r="J51" s="99" t="e">
        <f>IF(OR(J46,AND(J45,J50,J49),AND(J45,J48,NOT(J50))),J41)</f>
        <v>#REF!</v>
      </c>
      <c r="K51" s="75"/>
      <c r="L51" s="35"/>
      <c r="M51" s="75"/>
      <c r="N51" s="99" t="e">
        <f>IF(OR(N46,AND(N45,N50,N49),AND(N45,N48,NOT(N50))),N41)</f>
        <v>#REF!</v>
      </c>
      <c r="O51" s="75"/>
      <c r="P51" s="75"/>
      <c r="Q51" s="75"/>
      <c r="R51" s="99" t="e">
        <f>IF(OR(R46,AND(R45,R50,R49),AND(R45,R48,NOT(R50))),R41)</f>
        <v>#REF!</v>
      </c>
      <c r="S51" s="75"/>
      <c r="T51" s="84"/>
      <c r="U51" s="84"/>
    </row>
    <row r="52" spans="1:21" s="195" customFormat="1" ht="12" customHeight="1" x14ac:dyDescent="0.25">
      <c r="A52" s="39" t="s">
        <v>140</v>
      </c>
      <c r="B52" s="100" t="str">
        <f>IFERROR(B88,"geen glas ingevoerd")</f>
        <v>Geen glas aanwezig</v>
      </c>
      <c r="C52" s="35"/>
      <c r="D52" s="35"/>
      <c r="E52" s="35"/>
      <c r="F52" s="75"/>
      <c r="G52" s="75"/>
      <c r="H52" s="75"/>
      <c r="I52" s="75"/>
      <c r="J52" s="75"/>
      <c r="K52" s="75"/>
      <c r="L52" s="75"/>
      <c r="M52" s="75"/>
      <c r="N52" s="75"/>
      <c r="O52" s="75"/>
      <c r="P52" s="75"/>
      <c r="Q52" s="75"/>
      <c r="R52" s="75"/>
      <c r="S52" s="75"/>
      <c r="T52" s="84"/>
      <c r="U52" s="84"/>
    </row>
    <row r="53" spans="1:21" s="195" customFormat="1" ht="12" customHeight="1" x14ac:dyDescent="0.25">
      <c r="A53" s="66" t="s">
        <v>139</v>
      </c>
      <c r="B53" s="98" t="str">
        <f>IF(MAX(T77:T86)=0,"",_xlfn.XLOOKUP(MAX(T77:T86),T77:T86,$D$77:$D$86,"nvt"))</f>
        <v/>
      </c>
      <c r="C53" s="71" t="s">
        <v>2</v>
      </c>
      <c r="D53" s="35"/>
      <c r="E53" s="35"/>
      <c r="F53" s="75"/>
      <c r="G53" s="75"/>
      <c r="H53" s="75"/>
      <c r="I53" s="75"/>
      <c r="J53" s="75"/>
      <c r="K53" s="75"/>
      <c r="L53" s="75"/>
      <c r="M53" s="75"/>
      <c r="N53" s="75"/>
      <c r="O53" s="75"/>
      <c r="P53" s="75"/>
      <c r="Q53" s="75"/>
      <c r="R53" s="75"/>
      <c r="S53" s="75"/>
      <c r="T53" s="84"/>
      <c r="U53" s="84"/>
    </row>
    <row r="54" spans="1:21" s="195" customFormat="1" ht="12" customHeight="1" x14ac:dyDescent="0.2">
      <c r="A54" s="75"/>
      <c r="B54" s="75"/>
      <c r="C54" s="75"/>
      <c r="D54" s="75"/>
      <c r="E54" s="75"/>
      <c r="F54" s="75"/>
      <c r="G54" s="75"/>
      <c r="H54" s="75"/>
      <c r="I54" s="75"/>
      <c r="J54" s="75"/>
      <c r="K54" s="75"/>
      <c r="L54" s="75"/>
      <c r="M54" s="75"/>
      <c r="N54" s="75"/>
      <c r="O54" s="75"/>
      <c r="P54" s="75"/>
      <c r="Q54" s="75"/>
      <c r="R54" s="75"/>
      <c r="S54" s="75"/>
      <c r="T54" s="84"/>
      <c r="U54" s="84"/>
    </row>
    <row r="55" spans="1:21" s="195" customFormat="1" ht="12" customHeight="1" x14ac:dyDescent="0.25">
      <c r="A55" s="36" t="s">
        <v>260</v>
      </c>
      <c r="B55" s="248">
        <f>IF(B10="Nee",0,B16*'Projectgegevens en Resultaten'!$B$16)</f>
        <v>0</v>
      </c>
      <c r="C55" s="248"/>
      <c r="D55" s="249"/>
      <c r="E55" s="40" t="s">
        <v>11</v>
      </c>
      <c r="F55" s="248">
        <f>IF(F10="Nee",0,F16*'Projectgegevens en Resultaten'!$B$16)</f>
        <v>0</v>
      </c>
      <c r="G55" s="248"/>
      <c r="H55" s="249"/>
      <c r="I55" s="40" t="s">
        <v>11</v>
      </c>
      <c r="J55" s="248">
        <f>IF(J10="Nee",0,J16*'Projectgegevens en Resultaten'!$B$16)</f>
        <v>0</v>
      </c>
      <c r="K55" s="248"/>
      <c r="L55" s="249"/>
      <c r="M55" s="40" t="s">
        <v>11</v>
      </c>
      <c r="N55" s="248">
        <f>IF(N10="Nee",0,N16*'Projectgegevens en Resultaten'!$B$16)</f>
        <v>0</v>
      </c>
      <c r="O55" s="248"/>
      <c r="P55" s="249"/>
      <c r="Q55" s="40" t="s">
        <v>11</v>
      </c>
      <c r="R55" s="248">
        <f>IF(R10="Nee",0,R16*'Projectgegevens en Resultaten'!$B$16)</f>
        <v>0</v>
      </c>
      <c r="S55" s="248"/>
      <c r="T55" s="249"/>
      <c r="U55" s="40" t="s">
        <v>11</v>
      </c>
    </row>
    <row r="56" spans="1:21" s="195" customFormat="1" ht="12" customHeight="1" x14ac:dyDescent="0.25">
      <c r="A56" s="72" t="s">
        <v>142</v>
      </c>
      <c r="B56" s="242">
        <f>(0.75*B18*FLOOR(B20,0.05)*0.9*B35*B38*B39)+(0.75*D18*FLOOR(D20,0.05)*0.9*D35*D38*D39)</f>
        <v>0</v>
      </c>
      <c r="C56" s="242"/>
      <c r="D56" s="243"/>
      <c r="E56" s="40" t="s">
        <v>11</v>
      </c>
      <c r="F56" s="242">
        <f>(0.75*F18*FLOOR(F20,0.05)*0.9*F35*F38*F39)+(0.75*H18*FLOOR(H20,0.05)*0.9*H35*H38*H39)</f>
        <v>0</v>
      </c>
      <c r="G56" s="242"/>
      <c r="H56" s="243"/>
      <c r="I56" s="40" t="s">
        <v>11</v>
      </c>
      <c r="J56" s="242">
        <f>(0.75*J18*FLOOR(J20,0.05)*0.9*J35*J38*J39)+(0.75*L18*FLOOR(L20,0.05)*0.9*L35*L38*L39)</f>
        <v>0</v>
      </c>
      <c r="K56" s="242"/>
      <c r="L56" s="243"/>
      <c r="M56" s="40" t="s">
        <v>11</v>
      </c>
      <c r="N56" s="242">
        <f>(0.75*N18*FLOOR(N20,0.05)*0.9*N35*N38*N39)+(0.75*P18*FLOOR(P20,0.05)*0.9*P35*P38*P39)</f>
        <v>0</v>
      </c>
      <c r="O56" s="242"/>
      <c r="P56" s="243"/>
      <c r="Q56" s="40" t="s">
        <v>11</v>
      </c>
      <c r="R56" s="242">
        <f>(0.75*R18*FLOOR(R20,0.05)*0.9*R35*R38*R39)+(0.75*T18*FLOOR(T20,0.05)*0.9*T35*T38*T39)</f>
        <v>0</v>
      </c>
      <c r="S56" s="242"/>
      <c r="T56" s="243"/>
      <c r="U56" s="40" t="s">
        <v>11</v>
      </c>
    </row>
    <row r="57" spans="1:21" s="195" customFormat="1" ht="12" customHeight="1" x14ac:dyDescent="0.25">
      <c r="A57" s="72" t="s">
        <v>143</v>
      </c>
      <c r="B57" s="248">
        <f>IF(B10="Nee",0,IFERROR(B18*B19*($B$53-24),0)+IFERROR(D18*D19*($B$53-24),0))</f>
        <v>0</v>
      </c>
      <c r="C57" s="248"/>
      <c r="D57" s="249"/>
      <c r="E57" s="40" t="s">
        <v>11</v>
      </c>
      <c r="F57" s="248">
        <f>IF(F10="Nee",0,IFERROR(F18*F19*($B$53-24),0)+IFERROR(H18*H19*($B$53-24),0))</f>
        <v>0</v>
      </c>
      <c r="G57" s="248"/>
      <c r="H57" s="249"/>
      <c r="I57" s="40" t="s">
        <v>11</v>
      </c>
      <c r="J57" s="248">
        <f>IF(J10="Nee",0,IFERROR(J18*J19*($B$53-24),0)+IFERROR(L18*L19*($B$53-24),0))</f>
        <v>0</v>
      </c>
      <c r="K57" s="248"/>
      <c r="L57" s="249"/>
      <c r="M57" s="40" t="s">
        <v>11</v>
      </c>
      <c r="N57" s="248">
        <f>IF(N10="Nee",0,IFERROR(N18*N19*($B$53-24),0)+IFERROR(P18*P19*($B$53-24),0))</f>
        <v>0</v>
      </c>
      <c r="O57" s="248"/>
      <c r="P57" s="249"/>
      <c r="Q57" s="40" t="s">
        <v>11</v>
      </c>
      <c r="R57" s="248">
        <f>IF(R10="Nee",0,IFERROR(R18*R19*($B$53-24),0)+IFERROR(T18*T19*($B$53-24),0))</f>
        <v>0</v>
      </c>
      <c r="S57" s="248"/>
      <c r="T57" s="249"/>
      <c r="U57" s="40" t="s">
        <v>11</v>
      </c>
    </row>
    <row r="58" spans="1:21" s="195" customFormat="1" ht="12" customHeight="1" x14ac:dyDescent="0.2">
      <c r="A58" s="66" t="s">
        <v>100</v>
      </c>
      <c r="B58" s="246">
        <f>SUM(B55:D57)</f>
        <v>0</v>
      </c>
      <c r="C58" s="246"/>
      <c r="D58" s="247"/>
      <c r="E58" s="40" t="s">
        <v>11</v>
      </c>
      <c r="F58" s="246">
        <f>SUM(F55:H57)</f>
        <v>0</v>
      </c>
      <c r="G58" s="246"/>
      <c r="H58" s="247"/>
      <c r="I58" s="41" t="s">
        <v>11</v>
      </c>
      <c r="J58" s="246">
        <f>SUM(J55:L57)</f>
        <v>0</v>
      </c>
      <c r="K58" s="246"/>
      <c r="L58" s="247"/>
      <c r="M58" s="41" t="s">
        <v>11</v>
      </c>
      <c r="N58" s="246">
        <f>SUM(N55:P57)</f>
        <v>0</v>
      </c>
      <c r="O58" s="246"/>
      <c r="P58" s="247"/>
      <c r="Q58" s="41" t="s">
        <v>11</v>
      </c>
      <c r="R58" s="250">
        <f>SUM(R55:R57)</f>
        <v>0</v>
      </c>
      <c r="S58" s="250"/>
      <c r="T58" s="250"/>
      <c r="U58" s="41" t="s">
        <v>11</v>
      </c>
    </row>
    <row r="59" spans="1:21" s="195" customFormat="1" ht="12" customHeight="1" x14ac:dyDescent="0.2">
      <c r="A59" s="75"/>
      <c r="B59" s="76"/>
      <c r="C59" s="76"/>
      <c r="D59" s="76"/>
      <c r="E59" s="75"/>
      <c r="F59" s="75"/>
      <c r="G59" s="75"/>
      <c r="H59" s="75"/>
      <c r="I59" s="75"/>
      <c r="J59" s="75"/>
      <c r="K59" s="75"/>
      <c r="L59" s="75"/>
      <c r="M59" s="75"/>
      <c r="N59" s="75"/>
      <c r="O59" s="75"/>
      <c r="P59" s="75"/>
      <c r="Q59" s="75"/>
      <c r="R59" s="75"/>
      <c r="S59" s="75"/>
      <c r="T59" s="75"/>
      <c r="U59" s="84"/>
    </row>
    <row r="60" spans="1:21" s="195" customFormat="1" ht="12" customHeight="1" x14ac:dyDescent="0.25">
      <c r="A60" s="36" t="s">
        <v>144</v>
      </c>
      <c r="B60" s="242">
        <f>IF(B5=0,0,IF(B4="Woonvertrek",2*'Projectgegevens en Resultaten'!$B$33*B5,'Projectgegevens en Resultaten'!$B$33*B5))</f>
        <v>0</v>
      </c>
      <c r="C60" s="242"/>
      <c r="D60" s="243"/>
      <c r="E60" s="40" t="s">
        <v>11</v>
      </c>
      <c r="F60" s="75"/>
      <c r="G60" s="75"/>
      <c r="H60" s="75"/>
      <c r="I60" s="75"/>
      <c r="J60" s="75"/>
      <c r="K60" s="75"/>
      <c r="L60" s="75"/>
      <c r="M60" s="75"/>
      <c r="N60" s="75"/>
      <c r="O60" s="75"/>
      <c r="P60" s="75"/>
      <c r="Q60" s="75"/>
      <c r="R60" s="65"/>
      <c r="S60" s="35"/>
      <c r="T60" s="75"/>
      <c r="U60" s="84"/>
    </row>
    <row r="61" spans="1:21" s="195" customFormat="1" ht="12" customHeight="1" x14ac:dyDescent="0.25">
      <c r="A61" s="36" t="s">
        <v>145</v>
      </c>
      <c r="B61" s="244">
        <f>IFERROR(MAX((SUM('Projectgegevens en Resultaten'!$B$21:$B$23)/3600*1.205*1005*(B53-24))/SUM('Projectgegevens en Resultaten'!$B$40:$T$40)*B5,0),0)</f>
        <v>0</v>
      </c>
      <c r="C61" s="244">
        <f>IFERROR(MAX(SUM(C57:C59)/3600*1.205*1005*(C60-24),0),0)</f>
        <v>0</v>
      </c>
      <c r="D61" s="245">
        <f>IFERROR(MAX(SUM(D57:D59)/3600*1.205*1005*(D60-24),0),0)</f>
        <v>0</v>
      </c>
      <c r="E61" s="40" t="s">
        <v>11</v>
      </c>
      <c r="F61" s="75"/>
      <c r="G61" s="75"/>
      <c r="H61" s="75"/>
      <c r="I61" s="75"/>
      <c r="J61" s="75"/>
      <c r="K61" s="75"/>
      <c r="L61" s="75"/>
      <c r="M61" s="75"/>
      <c r="N61" s="75"/>
      <c r="O61" s="75"/>
      <c r="P61" s="75"/>
      <c r="Q61" s="75"/>
      <c r="R61" s="65"/>
      <c r="S61" s="35"/>
      <c r="T61" s="75"/>
      <c r="U61" s="84"/>
    </row>
    <row r="62" spans="1:21" s="195" customFormat="1" ht="12" customHeight="1" x14ac:dyDescent="0.2">
      <c r="A62" s="75"/>
      <c r="B62" s="76"/>
      <c r="C62" s="76"/>
      <c r="D62" s="76"/>
      <c r="E62" s="75"/>
      <c r="F62" s="75"/>
      <c r="G62" s="75"/>
      <c r="H62" s="75"/>
      <c r="I62" s="75"/>
      <c r="J62" s="75"/>
      <c r="K62" s="75"/>
      <c r="L62" s="75"/>
      <c r="M62" s="75"/>
      <c r="N62" s="75"/>
      <c r="O62" s="75"/>
      <c r="P62" s="75"/>
      <c r="Q62" s="75"/>
      <c r="R62" s="75"/>
      <c r="S62" s="75"/>
      <c r="T62" s="75"/>
      <c r="U62" s="84"/>
    </row>
    <row r="63" spans="1:21" s="195" customFormat="1" ht="12" customHeight="1" x14ac:dyDescent="0.2">
      <c r="A63" s="72" t="s">
        <v>167</v>
      </c>
      <c r="B63" s="242">
        <f>IFERROR(SUM(B58:T58)+B60+B61,0)</f>
        <v>0</v>
      </c>
      <c r="C63" s="242"/>
      <c r="D63" s="243"/>
      <c r="E63" s="40" t="s">
        <v>11</v>
      </c>
      <c r="F63" s="35"/>
      <c r="G63" s="35"/>
      <c r="H63" s="35"/>
      <c r="I63" s="35"/>
      <c r="J63" s="35"/>
      <c r="K63" s="35"/>
      <c r="L63" s="35"/>
      <c r="M63" s="35"/>
      <c r="N63" s="35"/>
      <c r="O63" s="35"/>
      <c r="P63" s="35"/>
      <c r="Q63" s="35"/>
      <c r="R63" s="35"/>
      <c r="S63" s="35"/>
      <c r="T63" s="75"/>
      <c r="U63" s="84"/>
    </row>
    <row r="64" spans="1:21" s="195" customFormat="1" ht="12" customHeight="1" x14ac:dyDescent="0.2">
      <c r="A64" s="72" t="s">
        <v>99</v>
      </c>
      <c r="B64" s="246">
        <f>IFERROR(B63/B5,0)</f>
        <v>0</v>
      </c>
      <c r="C64" s="246"/>
      <c r="D64" s="247"/>
      <c r="E64" s="40" t="s">
        <v>12</v>
      </c>
      <c r="F64" s="35"/>
      <c r="G64" s="35"/>
      <c r="H64" s="35"/>
      <c r="I64" s="35"/>
      <c r="J64" s="35"/>
      <c r="K64" s="35"/>
      <c r="L64" s="35"/>
      <c r="M64" s="35"/>
      <c r="N64" s="35"/>
      <c r="O64" s="35"/>
      <c r="P64" s="35"/>
      <c r="Q64" s="35"/>
      <c r="R64" s="35"/>
      <c r="S64" s="35"/>
      <c r="T64" s="75"/>
      <c r="U64" s="84"/>
    </row>
    <row r="65" spans="1:21" s="195" customFormat="1" ht="12" customHeight="1" x14ac:dyDescent="0.2">
      <c r="A65" s="75"/>
      <c r="B65" s="75"/>
      <c r="C65" s="75"/>
      <c r="D65" s="75"/>
      <c r="E65" s="75"/>
      <c r="F65" s="75"/>
      <c r="G65" s="75"/>
      <c r="H65" s="75"/>
      <c r="I65" s="75"/>
      <c r="J65" s="75"/>
      <c r="K65" s="75"/>
      <c r="L65" s="75"/>
      <c r="M65" s="75"/>
      <c r="N65" s="75"/>
      <c r="O65" s="75"/>
      <c r="P65" s="75"/>
      <c r="Q65" s="75"/>
      <c r="R65" s="75"/>
      <c r="S65" s="75"/>
      <c r="T65" s="75"/>
      <c r="U65" s="84"/>
    </row>
    <row r="70" spans="1:21" hidden="1" x14ac:dyDescent="0.2"/>
    <row r="71" spans="1:21" ht="15" hidden="1" customHeight="1" x14ac:dyDescent="0.2">
      <c r="A71" s="236" t="s">
        <v>251</v>
      </c>
      <c r="B71" s="236"/>
      <c r="C71" s="236"/>
      <c r="D71" s="236"/>
      <c r="E71" s="236"/>
      <c r="F71" s="236"/>
      <c r="G71" s="236"/>
      <c r="H71" s="236"/>
      <c r="I71" s="236"/>
      <c r="J71" s="236"/>
      <c r="K71" s="236"/>
      <c r="L71" s="236"/>
      <c r="M71" s="236"/>
      <c r="N71" s="236"/>
      <c r="O71" s="236"/>
      <c r="P71" s="236"/>
      <c r="Q71" s="236"/>
      <c r="R71" s="236"/>
      <c r="S71" s="236"/>
      <c r="T71" s="236"/>
      <c r="U71" s="236"/>
    </row>
    <row r="72" spans="1:21" ht="15" hidden="1" customHeight="1" x14ac:dyDescent="0.2">
      <c r="A72" s="236"/>
      <c r="B72" s="236"/>
      <c r="C72" s="236"/>
      <c r="D72" s="236"/>
      <c r="E72" s="236"/>
      <c r="F72" s="236"/>
      <c r="G72" s="236"/>
      <c r="H72" s="236"/>
      <c r="I72" s="236"/>
      <c r="J72" s="236"/>
      <c r="K72" s="236"/>
      <c r="L72" s="236"/>
      <c r="M72" s="236"/>
      <c r="N72" s="236"/>
      <c r="O72" s="236"/>
      <c r="P72" s="236"/>
      <c r="Q72" s="236"/>
      <c r="R72" s="236"/>
      <c r="S72" s="236"/>
      <c r="T72" s="236"/>
      <c r="U72" s="236"/>
    </row>
    <row r="73" spans="1:21" hidden="1" x14ac:dyDescent="0.2">
      <c r="A73" s="196" t="s">
        <v>249</v>
      </c>
      <c r="B73" s="197" cm="1">
        <f t="array" ref="B73">IF(B$10="Nee",0,o_Isol_Max_Orientatie(B8,B11))</f>
        <v>0</v>
      </c>
      <c r="C73" s="198" t="s">
        <v>12</v>
      </c>
      <c r="D73" s="198"/>
      <c r="E73" s="198"/>
      <c r="F73" s="197" cm="1">
        <f t="array" ref="F73">IF(F$10="Nee",0,o_Isol_Max_Orientatie(F8,F11))</f>
        <v>0</v>
      </c>
      <c r="G73" s="198" t="s">
        <v>12</v>
      </c>
      <c r="H73" s="198"/>
      <c r="I73" s="198"/>
      <c r="J73" s="197" cm="1">
        <f t="array" ref="J73">IF(J$10="Nee",0,o_Isol_Max_Orientatie(J8,J11))</f>
        <v>0</v>
      </c>
      <c r="K73" s="198" t="s">
        <v>12</v>
      </c>
      <c r="L73" s="198"/>
      <c r="M73" s="198"/>
      <c r="N73" s="197" cm="1">
        <f t="array" ref="N73">IF(N$10="Nee",0,o_Isol_Max_Orientatie(N8,N11))</f>
        <v>0</v>
      </c>
      <c r="O73" s="198" t="s">
        <v>12</v>
      </c>
      <c r="P73" s="198"/>
      <c r="Q73" s="198"/>
      <c r="R73" s="197" cm="1">
        <f t="array" ref="R73">IF(R$10="Nee",0,o_Isol_Max_Orientatie(R8,R11))</f>
        <v>0</v>
      </c>
      <c r="S73" s="198" t="s">
        <v>12</v>
      </c>
      <c r="T73" s="198"/>
      <c r="U73" s="198"/>
    </row>
    <row r="74" spans="1:21" hidden="1" x14ac:dyDescent="0.2">
      <c r="A74" s="196" t="s">
        <v>250</v>
      </c>
      <c r="B74" s="199" t="e" cm="1">
        <f t="array" ref="B74">VALUE(o_Tijdstip_Isol_Max_Orientatie(B8,B11))</f>
        <v>#VALUE!</v>
      </c>
      <c r="C74" s="198"/>
      <c r="D74" s="198"/>
      <c r="E74" s="198"/>
      <c r="F74" s="200" cm="1">
        <f t="array" ref="F74">VALUE(o_Tijdstip_Isol_Max_Orientatie(F8,F11))</f>
        <v>0.375</v>
      </c>
      <c r="G74" s="198"/>
      <c r="H74" s="198"/>
      <c r="I74" s="198"/>
      <c r="J74" s="200" cm="1">
        <f t="array" ref="J74">VALUE(o_Tijdstip_Isol_Max_Orientatie(J8,J11))</f>
        <v>0.58333333333333337</v>
      </c>
      <c r="K74" s="198"/>
      <c r="L74" s="198"/>
      <c r="M74" s="198"/>
      <c r="N74" s="200" cm="1">
        <f t="array" ref="N74">VALUE(o_Tijdstip_Isol_Max_Orientatie(N8,N11))</f>
        <v>0.625</v>
      </c>
      <c r="O74" s="198"/>
      <c r="P74" s="198"/>
      <c r="Q74" s="198"/>
      <c r="R74" s="200" cm="1">
        <f t="array" ref="R74">VALUE(o_Tijdstip_Isol_Max_Orientatie(R8,R11))</f>
        <v>0.5</v>
      </c>
      <c r="S74" s="198"/>
      <c r="T74" s="198"/>
      <c r="U74" s="198"/>
    </row>
    <row r="75" spans="1:21" hidden="1" x14ac:dyDescent="0.2">
      <c r="A75" s="196"/>
      <c r="B75" s="196"/>
      <c r="C75" s="196"/>
      <c r="D75" s="196"/>
      <c r="E75" s="196"/>
      <c r="F75" s="196"/>
      <c r="G75" s="196"/>
      <c r="H75" s="196"/>
      <c r="I75" s="196"/>
      <c r="J75" s="196"/>
      <c r="K75" s="196"/>
      <c r="L75" s="196"/>
      <c r="M75" s="196"/>
      <c r="N75" s="196"/>
      <c r="O75" s="196"/>
      <c r="P75" s="196"/>
      <c r="Q75" s="196"/>
      <c r="R75" s="196"/>
      <c r="S75" s="196"/>
      <c r="T75" s="196"/>
      <c r="U75" s="196"/>
    </row>
    <row r="76" spans="1:21" ht="13.5" hidden="1" x14ac:dyDescent="0.25">
      <c r="A76" s="196" t="s">
        <v>142</v>
      </c>
      <c r="B76" s="196"/>
      <c r="C76" s="196"/>
      <c r="D76" s="196" t="s">
        <v>284</v>
      </c>
      <c r="E76" s="196"/>
      <c r="F76" s="196"/>
      <c r="G76" s="196"/>
      <c r="H76" s="196"/>
      <c r="I76" s="196"/>
      <c r="J76" s="196"/>
      <c r="K76" s="196"/>
      <c r="L76" s="196"/>
      <c r="M76" s="196"/>
      <c r="N76" s="196"/>
      <c r="O76" s="196"/>
      <c r="P76" s="196"/>
      <c r="Q76" s="196"/>
      <c r="R76" s="196"/>
      <c r="S76" s="196"/>
      <c r="T76" s="196"/>
      <c r="U76" s="196"/>
    </row>
    <row r="77" spans="1:21" hidden="1" x14ac:dyDescent="0.2">
      <c r="A77" s="201">
        <v>0.375</v>
      </c>
      <c r="B77" s="197" cm="1">
        <f t="array" ref="B77">IFERROR((0.75*B$18*FLOOR(B$20,0.05)*0.9*B$35*B$38*o_Isol_Bij_Tijdstip($A77,B$8,B$11))+(0.75*D$18*FLOOR(D$20,0.05)*0.9*D$35*D$38*o_Isol_Bij_Tijdstip($A77,B$8,B$11)),0)</f>
        <v>0</v>
      </c>
      <c r="C77" s="196" t="s">
        <v>11</v>
      </c>
      <c r="D77" s="196">
        <v>24.7</v>
      </c>
      <c r="E77" s="196"/>
      <c r="F77" s="197" cm="1">
        <f t="array" ref="F77">IFERROR((0.75*F$18*FLOOR(F$20,0.05)*0.9*F$35*F$38*o_Isol_Bij_Tijdstip($A77,F$8,F$11))+(0.75*H$18*FLOOR(H$20,0.05)*0.9*H$35*H$38*o_Isol_Bij_Tijdstip($A77,F$8,F$11)),0)</f>
        <v>0</v>
      </c>
      <c r="G77" s="196" t="s">
        <v>11</v>
      </c>
      <c r="H77" s="196"/>
      <c r="I77" s="196"/>
      <c r="J77" s="197" cm="1">
        <f t="array" ref="J77">IFERROR((0.75*J$18*FLOOR(J$20,0.05)*0.9*J$35*J$38*o_Isol_Bij_Tijdstip($A77,J$8,J$11))+(0.75*L$18*FLOOR(L$20,0.05)*0.9*L$35*L$38*o_Isol_Bij_Tijdstip($A77,J$8,J$11)),0)</f>
        <v>0</v>
      </c>
      <c r="K77" s="196" t="s">
        <v>11</v>
      </c>
      <c r="L77" s="196"/>
      <c r="M77" s="196"/>
      <c r="N77" s="197" cm="1">
        <f t="array" ref="N77">IFERROR((0.75*N$18*FLOOR(N$20,0.05)*0.9*N$35*N$38*o_Isol_Bij_Tijdstip($A77,N$8,N$11))+(0.75*P$18*FLOOR(P$20,0.05)*0.9*P$35*P$38*o_Isol_Bij_Tijdstip($A77,N$8,N$11)),0)</f>
        <v>0</v>
      </c>
      <c r="O77" s="196" t="s">
        <v>11</v>
      </c>
      <c r="P77" s="196"/>
      <c r="Q77" s="196"/>
      <c r="R77" s="197" cm="1">
        <f t="array" ref="R77">IFERROR(IF(R$10="Nee",0,(0.75*R$18*FLOOR(R$20,0.05)*0.9*R$35*R$38*o_Isol_Bij_Tijdstip($A77,R$8,R$11))+(0.75*T$18*FLOOR(T$20,0.05)*0.9*T$35*T$38*o_Isol_Bij_Tijdstip($A77,R$8,R$11))),0)</f>
        <v>0</v>
      </c>
      <c r="S77" s="196" t="s">
        <v>11</v>
      </c>
      <c r="T77" s="197">
        <f t="shared" ref="T77:T86" si="0">B77+F77+J77+N77+R77</f>
        <v>0</v>
      </c>
      <c r="U77" s="196" t="s">
        <v>11</v>
      </c>
    </row>
    <row r="78" spans="1:21" hidden="1" x14ac:dyDescent="0.2">
      <c r="A78" s="201">
        <v>0.41666666666666669</v>
      </c>
      <c r="B78" s="197" cm="1">
        <f t="array" ref="B78">IFERROR((0.75*B$18*FLOOR(B$20,0.05)*0.9*B$35*B$38*o_Isol_Bij_Tijdstip($A78,B$8,B$11))+(0.75*D$18*FLOOR(D$20,0.05)*0.9*D$35*D$38*o_Isol_Bij_Tijdstip($A78,B$8,B$11)),0)</f>
        <v>0</v>
      </c>
      <c r="C78" s="196" t="s">
        <v>11</v>
      </c>
      <c r="D78" s="196">
        <v>26.9</v>
      </c>
      <c r="E78" s="196"/>
      <c r="F78" s="197" cm="1">
        <f t="array" ref="F78">IFERROR((0.75*F$18*FLOOR(F$20,0.05)*0.9*F$35*F$38*o_Isol_Bij_Tijdstip($A78,F$8,F$11))+(0.75*H$18*FLOOR(H$20,0.05)*0.9*H$35*H$38*o_Isol_Bij_Tijdstip($A78,F$8,F$11)),0)</f>
        <v>0</v>
      </c>
      <c r="G78" s="196" t="s">
        <v>11</v>
      </c>
      <c r="H78" s="196"/>
      <c r="I78" s="196"/>
      <c r="J78" s="197" cm="1">
        <f t="array" ref="J78">IFERROR((0.75*J$18*FLOOR(J$20,0.05)*0.9*J$35*J$38*o_Isol_Bij_Tijdstip($A78,J$8,J$11))+(0.75*L$18*FLOOR(L$20,0.05)*0.9*L$35*L$38*o_Isol_Bij_Tijdstip($A78,J$8,J$11)),0)</f>
        <v>0</v>
      </c>
      <c r="K78" s="196" t="s">
        <v>11</v>
      </c>
      <c r="L78" s="196"/>
      <c r="M78" s="196"/>
      <c r="N78" s="197" cm="1">
        <f t="array" ref="N78">IFERROR((0.75*N$18*FLOOR(N$20,0.05)*0.9*N$35*N$38*o_Isol_Bij_Tijdstip($A78,N$8,N$11))+(0.75*P$18*FLOOR(P$20,0.05)*0.9*P$35*P$38*o_Isol_Bij_Tijdstip($A78,N$8,N$11)),0)</f>
        <v>0</v>
      </c>
      <c r="O78" s="196" t="s">
        <v>11</v>
      </c>
      <c r="P78" s="196"/>
      <c r="Q78" s="196"/>
      <c r="R78" s="197" cm="1">
        <f t="array" ref="R78">IFERROR(IF(R$10="Nee",0,(0.75*R$18*FLOOR(R$20,0.05)*0.9*R$35*R$38*o_Isol_Bij_Tijdstip($A78,R$8,R$11))+(0.75*T$18*FLOOR(T$20,0.05)*0.9*T$35*T$38*o_Isol_Bij_Tijdstip($A78,R$8,R$11))),0)</f>
        <v>0</v>
      </c>
      <c r="S78" s="196" t="s">
        <v>11</v>
      </c>
      <c r="T78" s="197">
        <f t="shared" si="0"/>
        <v>0</v>
      </c>
      <c r="U78" s="196" t="s">
        <v>11</v>
      </c>
    </row>
    <row r="79" spans="1:21" hidden="1" x14ac:dyDescent="0.2">
      <c r="A79" s="201">
        <v>0.45833333333333331</v>
      </c>
      <c r="B79" s="197" cm="1">
        <f t="array" ref="B79">IFERROR((0.75*B$18*FLOOR(B$20,0.05)*0.9*B$35*B$38*o_Isol_Bij_Tijdstip($A79,B$8,B$11))+(0.75*D$18*FLOOR(D$20,0.05)*0.9*D$35*D$38*o_Isol_Bij_Tijdstip($A79,B$8,B$11)),0)</f>
        <v>0</v>
      </c>
      <c r="C79" s="196" t="s">
        <v>11</v>
      </c>
      <c r="D79" s="196">
        <v>28.2</v>
      </c>
      <c r="E79" s="196"/>
      <c r="F79" s="197" cm="1">
        <f t="array" ref="F79">IFERROR((0.75*F$18*FLOOR(F$20,0.05)*0.9*F$35*F$38*o_Isol_Bij_Tijdstip($A79,F$8,F$11))+(0.75*H$18*FLOOR(H$20,0.05)*0.9*H$35*H$38*o_Isol_Bij_Tijdstip($A79,F$8,F$11)),0)</f>
        <v>0</v>
      </c>
      <c r="G79" s="196" t="s">
        <v>11</v>
      </c>
      <c r="H79" s="196"/>
      <c r="I79" s="196"/>
      <c r="J79" s="197" cm="1">
        <f t="array" ref="J79">IFERROR((0.75*J$18*FLOOR(J$20,0.05)*0.9*J$35*J$38*o_Isol_Bij_Tijdstip($A79,J$8,J$11))+(0.75*L$18*FLOOR(L$20,0.05)*0.9*L$35*L$38*o_Isol_Bij_Tijdstip($A79,J$8,J$11)),0)</f>
        <v>0</v>
      </c>
      <c r="K79" s="196" t="s">
        <v>11</v>
      </c>
      <c r="L79" s="196"/>
      <c r="M79" s="196"/>
      <c r="N79" s="197" cm="1">
        <f t="array" ref="N79">IFERROR((0.75*N$18*FLOOR(N$20,0.05)*0.9*N$35*N$38*o_Isol_Bij_Tijdstip($A79,N$8,N$11))+(0.75*P$18*FLOOR(P$20,0.05)*0.9*P$35*P$38*o_Isol_Bij_Tijdstip($A79,N$8,N$11)),0)</f>
        <v>0</v>
      </c>
      <c r="O79" s="196" t="s">
        <v>11</v>
      </c>
      <c r="P79" s="196"/>
      <c r="Q79" s="196"/>
      <c r="R79" s="197" cm="1">
        <f t="array" ref="R79">IFERROR(IF(R$10="Nee",0,(0.75*R$18*FLOOR(R$20,0.05)*0.9*R$35*R$38*o_Isol_Bij_Tijdstip($A79,R$8,R$11))+(0.75*T$18*FLOOR(T$20,0.05)*0.9*T$35*T$38*o_Isol_Bij_Tijdstip($A79,R$8,R$11))),0)</f>
        <v>0</v>
      </c>
      <c r="S79" s="196" t="s">
        <v>11</v>
      </c>
      <c r="T79" s="197">
        <f t="shared" si="0"/>
        <v>0</v>
      </c>
      <c r="U79" s="196" t="s">
        <v>11</v>
      </c>
    </row>
    <row r="80" spans="1:21" hidden="1" x14ac:dyDescent="0.2">
      <c r="A80" s="201">
        <v>0.5</v>
      </c>
      <c r="B80" s="197" cm="1">
        <f t="array" ref="B80">IFERROR((0.75*B$18*FLOOR(B$20,0.05)*0.9*B$35*B$38*o_Isol_Bij_Tijdstip($A80,B$8,B$11))+(0.75*D$18*FLOOR(D$20,0.05)*0.9*D$35*D$38*o_Isol_Bij_Tijdstip($A80,B$8,B$11)),0)</f>
        <v>0</v>
      </c>
      <c r="C80" s="196" t="s">
        <v>11</v>
      </c>
      <c r="D80" s="196">
        <v>28.9</v>
      </c>
      <c r="E80" s="196"/>
      <c r="F80" s="197" cm="1">
        <f t="array" ref="F80">IFERROR((0.75*F$18*FLOOR(F$20,0.05)*0.9*F$35*F$38*o_Isol_Bij_Tijdstip($A80,F$8,F$11))+(0.75*H$18*FLOOR(H$20,0.05)*0.9*H$35*H$38*o_Isol_Bij_Tijdstip($A80,F$8,F$11)),0)</f>
        <v>0</v>
      </c>
      <c r="G80" s="196" t="s">
        <v>11</v>
      </c>
      <c r="H80" s="196"/>
      <c r="I80" s="196"/>
      <c r="J80" s="197" cm="1">
        <f t="array" ref="J80">IFERROR((0.75*J$18*FLOOR(J$20,0.05)*0.9*J$35*J$38*o_Isol_Bij_Tijdstip($A80,J$8,J$11))+(0.75*L$18*FLOOR(L$20,0.05)*0.9*L$35*L$38*o_Isol_Bij_Tijdstip($A80,J$8,J$11)),0)</f>
        <v>0</v>
      </c>
      <c r="K80" s="196" t="s">
        <v>11</v>
      </c>
      <c r="L80" s="196"/>
      <c r="M80" s="196"/>
      <c r="N80" s="197" cm="1">
        <f t="array" ref="N80">IFERROR((0.75*N$18*FLOOR(N$20,0.05)*0.9*N$35*N$38*o_Isol_Bij_Tijdstip($A80,N$8,N$11))+(0.75*P$18*FLOOR(P$20,0.05)*0.9*P$35*P$38*o_Isol_Bij_Tijdstip($A80,N$8,N$11)),0)</f>
        <v>0</v>
      </c>
      <c r="O80" s="196" t="s">
        <v>11</v>
      </c>
      <c r="P80" s="196"/>
      <c r="Q80" s="196"/>
      <c r="R80" s="197" cm="1">
        <f t="array" ref="R80">IFERROR(IF(R$10="Nee",0,(0.75*R$18*FLOOR(R$20,0.05)*0.9*R$35*R$38*o_Isol_Bij_Tijdstip($A80,R$8,R$11))+(0.75*T$18*FLOOR(T$20,0.05)*0.9*T$35*T$38*o_Isol_Bij_Tijdstip($A80,R$8,R$11))),0)</f>
        <v>0</v>
      </c>
      <c r="S80" s="196" t="s">
        <v>11</v>
      </c>
      <c r="T80" s="197">
        <f t="shared" si="0"/>
        <v>0</v>
      </c>
      <c r="U80" s="196" t="s">
        <v>11</v>
      </c>
    </row>
    <row r="81" spans="1:21" hidden="1" x14ac:dyDescent="0.2">
      <c r="A81" s="201">
        <v>0.54166666666666696</v>
      </c>
      <c r="B81" s="197" cm="1">
        <f t="array" ref="B81">IFERROR((0.75*B$18*FLOOR(B$20,0.05)*0.9*B$35*B$38*o_Isol_Bij_Tijdstip($A81,B$8,B$11))+(0.75*D$18*FLOOR(D$20,0.05)*0.9*D$35*D$38*o_Isol_Bij_Tijdstip($A81,B$8,B$11)),0)</f>
        <v>0</v>
      </c>
      <c r="C81" s="196" t="s">
        <v>11</v>
      </c>
      <c r="D81" s="196">
        <v>29.7</v>
      </c>
      <c r="E81" s="196"/>
      <c r="F81" s="197" cm="1">
        <f t="array" ref="F81">IFERROR((0.75*F$18*FLOOR(F$20,0.05)*0.9*F$35*F$38*o_Isol_Bij_Tijdstip($A81,F$8,F$11))+(0.75*H$18*FLOOR(H$20,0.05)*0.9*H$35*H$38*o_Isol_Bij_Tijdstip($A81,F$8,F$11)),0)</f>
        <v>0</v>
      </c>
      <c r="G81" s="196" t="s">
        <v>11</v>
      </c>
      <c r="H81" s="196"/>
      <c r="I81" s="196"/>
      <c r="J81" s="197" cm="1">
        <f t="array" ref="J81">IFERROR((0.75*J$18*FLOOR(J$20,0.05)*0.9*J$35*J$38*o_Isol_Bij_Tijdstip($A81,J$8,J$11))+(0.75*L$18*FLOOR(L$20,0.05)*0.9*L$35*L$38*o_Isol_Bij_Tijdstip($A81,J$8,J$11)),0)</f>
        <v>0</v>
      </c>
      <c r="K81" s="196" t="s">
        <v>11</v>
      </c>
      <c r="L81" s="196"/>
      <c r="M81" s="196"/>
      <c r="N81" s="197" cm="1">
        <f t="array" ref="N81">IFERROR((0.75*N$18*FLOOR(N$20,0.05)*0.9*N$35*N$38*o_Isol_Bij_Tijdstip($A81,N$8,N$11))+(0.75*P$18*FLOOR(P$20,0.05)*0.9*P$35*P$38*o_Isol_Bij_Tijdstip($A81,N$8,N$11)),0)</f>
        <v>0</v>
      </c>
      <c r="O81" s="196" t="s">
        <v>11</v>
      </c>
      <c r="P81" s="196"/>
      <c r="Q81" s="196"/>
      <c r="R81" s="197" cm="1">
        <f t="array" ref="R81">IFERROR(IF(R$10="Nee",0,(0.75*R$18*FLOOR(R$20,0.05)*0.9*R$35*R$38*o_Isol_Bij_Tijdstip($A81,R$8,R$11))+(0.75*T$18*FLOOR(T$20,0.05)*0.9*T$35*T$38*o_Isol_Bij_Tijdstip($A81,R$8,R$11))),0)</f>
        <v>0</v>
      </c>
      <c r="S81" s="196" t="s">
        <v>11</v>
      </c>
      <c r="T81" s="197">
        <f t="shared" si="0"/>
        <v>0</v>
      </c>
      <c r="U81" s="196" t="s">
        <v>11</v>
      </c>
    </row>
    <row r="82" spans="1:21" hidden="1" x14ac:dyDescent="0.2">
      <c r="A82" s="201">
        <v>0.58333333333333404</v>
      </c>
      <c r="B82" s="197" cm="1">
        <f t="array" ref="B82">IFERROR((0.75*B$18*FLOOR(B$20,0.05)*0.9*B$35*B$38*o_Isol_Bij_Tijdstip($A82,B$8,B$11))+(0.75*D$18*FLOOR(D$20,0.05)*0.9*D$35*D$38*o_Isol_Bij_Tijdstip($A82,B$8,B$11)),0)</f>
        <v>0</v>
      </c>
      <c r="C82" s="196" t="s">
        <v>11</v>
      </c>
      <c r="D82" s="196">
        <v>29.9</v>
      </c>
      <c r="E82" s="196"/>
      <c r="F82" s="197" cm="1">
        <f t="array" ref="F82">IFERROR((0.75*F$18*FLOOR(F$20,0.05)*0.9*F$35*F$38*o_Isol_Bij_Tijdstip($A82,F$8,F$11))+(0.75*H$18*FLOOR(H$20,0.05)*0.9*H$35*H$38*o_Isol_Bij_Tijdstip($A82,F$8,F$11)),0)</f>
        <v>0</v>
      </c>
      <c r="G82" s="196" t="s">
        <v>11</v>
      </c>
      <c r="H82" s="196"/>
      <c r="I82" s="196"/>
      <c r="J82" s="197" cm="1">
        <f t="array" ref="J82">IFERROR((0.75*J$18*FLOOR(J$20,0.05)*0.9*J$35*J$38*o_Isol_Bij_Tijdstip($A82,J$8,J$11))+(0.75*L$18*FLOOR(L$20,0.05)*0.9*L$35*L$38*o_Isol_Bij_Tijdstip($A82,J$8,J$11)),0)</f>
        <v>0</v>
      </c>
      <c r="K82" s="196" t="s">
        <v>11</v>
      </c>
      <c r="L82" s="196"/>
      <c r="M82" s="196"/>
      <c r="N82" s="197" cm="1">
        <f t="array" ref="N82">IFERROR((0.75*N$18*FLOOR(N$20,0.05)*0.9*N$35*N$38*o_Isol_Bij_Tijdstip($A82,N$8,N$11))+(0.75*P$18*FLOOR(P$20,0.05)*0.9*P$35*P$38*o_Isol_Bij_Tijdstip($A82,N$8,N$11)),0)</f>
        <v>0</v>
      </c>
      <c r="O82" s="196" t="s">
        <v>11</v>
      </c>
      <c r="P82" s="196"/>
      <c r="Q82" s="196"/>
      <c r="R82" s="197" cm="1">
        <f t="array" ref="R82">IFERROR(IF(R$10="Nee",0,(0.75*R$18*FLOOR(R$20,0.05)*0.9*R$35*R$38*o_Isol_Bij_Tijdstip($A82,R$8,R$11))+(0.75*T$18*FLOOR(T$20,0.05)*0.9*T$35*T$38*o_Isol_Bij_Tijdstip($A82,R$8,R$11))),0)</f>
        <v>0</v>
      </c>
      <c r="S82" s="196" t="s">
        <v>11</v>
      </c>
      <c r="T82" s="197">
        <f t="shared" si="0"/>
        <v>0</v>
      </c>
      <c r="U82" s="196" t="s">
        <v>11</v>
      </c>
    </row>
    <row r="83" spans="1:21" hidden="1" x14ac:dyDescent="0.2">
      <c r="A83" s="201">
        <v>0.625000000000001</v>
      </c>
      <c r="B83" s="197" cm="1">
        <f t="array" ref="B83">IFERROR((0.75*B$18*FLOOR(B$20,0.05)*0.9*B$35*B$38*o_Isol_Bij_Tijdstip($A83,B$8,B$11))+(0.75*D$18*FLOOR(D$20,0.05)*0.9*D$35*D$38*o_Isol_Bij_Tijdstip($A83,B$8,B$11)),0)</f>
        <v>0</v>
      </c>
      <c r="C83" s="196" t="s">
        <v>11</v>
      </c>
      <c r="D83" s="196">
        <v>29.8</v>
      </c>
      <c r="E83" s="196"/>
      <c r="F83" s="197" cm="1">
        <f t="array" ref="F83">IFERROR((0.75*F$18*FLOOR(F$20,0.05)*0.9*F$35*F$38*o_Isol_Bij_Tijdstip($A83,F$8,F$11))+(0.75*H$18*FLOOR(H$20,0.05)*0.9*H$35*H$38*o_Isol_Bij_Tijdstip($A83,F$8,F$11)),0)</f>
        <v>0</v>
      </c>
      <c r="G83" s="196" t="s">
        <v>11</v>
      </c>
      <c r="H83" s="196"/>
      <c r="I83" s="196"/>
      <c r="J83" s="197" cm="1">
        <f t="array" ref="J83">IFERROR((0.75*J$18*FLOOR(J$20,0.05)*0.9*J$35*J$38*o_Isol_Bij_Tijdstip($A83,J$8,J$11))+(0.75*L$18*FLOOR(L$20,0.05)*0.9*L$35*L$38*o_Isol_Bij_Tijdstip($A83,J$8,J$11)),0)</f>
        <v>0</v>
      </c>
      <c r="K83" s="196" t="s">
        <v>11</v>
      </c>
      <c r="L83" s="196"/>
      <c r="M83" s="196"/>
      <c r="N83" s="197" cm="1">
        <f t="array" ref="N83">IFERROR((0.75*N$18*FLOOR(N$20,0.05)*0.9*N$35*N$38*o_Isol_Bij_Tijdstip($A83,N$8,N$11))+(0.75*P$18*FLOOR(P$20,0.05)*0.9*P$35*P$38*o_Isol_Bij_Tijdstip($A83,N$8,N$11)),0)</f>
        <v>0</v>
      </c>
      <c r="O83" s="196" t="s">
        <v>11</v>
      </c>
      <c r="P83" s="196"/>
      <c r="Q83" s="196"/>
      <c r="R83" s="197" cm="1">
        <f t="array" ref="R83">IFERROR(IF(R$10="Nee",0,(0.75*R$18*FLOOR(R$20,0.05)*0.9*R$35*R$38*o_Isol_Bij_Tijdstip($A83,R$8,R$11))+(0.75*T$18*FLOOR(T$20,0.05)*0.9*T$35*T$38*o_Isol_Bij_Tijdstip($A83,R$8,R$11))),0)</f>
        <v>0</v>
      </c>
      <c r="S83" s="196" t="s">
        <v>11</v>
      </c>
      <c r="T83" s="197">
        <f t="shared" si="0"/>
        <v>0</v>
      </c>
      <c r="U83" s="196" t="s">
        <v>11</v>
      </c>
    </row>
    <row r="84" spans="1:21" hidden="1" x14ac:dyDescent="0.2">
      <c r="A84" s="201">
        <v>0.66666666666666796</v>
      </c>
      <c r="B84" s="197" cm="1">
        <f t="array" ref="B84">IFERROR((0.75*B$18*FLOOR(B$20,0.05)*0.9*B$35*B$38*o_Isol_Bij_Tijdstip($A84,B$8,B$11))+(0.75*D$18*FLOOR(D$20,0.05)*0.9*D$35*D$38*o_Isol_Bij_Tijdstip($A84,B$8,B$11)),0)</f>
        <v>0</v>
      </c>
      <c r="C84" s="196" t="s">
        <v>11</v>
      </c>
      <c r="D84" s="196">
        <v>30.4</v>
      </c>
      <c r="E84" s="196"/>
      <c r="F84" s="197" cm="1">
        <f t="array" ref="F84">IFERROR((0.75*F$18*FLOOR(F$20,0.05)*0.9*F$35*F$38*o_Isol_Bij_Tijdstip($A84,F$8,F$11))+(0.75*H$18*FLOOR(H$20,0.05)*0.9*H$35*H$38*o_Isol_Bij_Tijdstip($A84,F$8,F$11)),0)</f>
        <v>0</v>
      </c>
      <c r="G84" s="196" t="s">
        <v>11</v>
      </c>
      <c r="H84" s="196"/>
      <c r="I84" s="196"/>
      <c r="J84" s="197" cm="1">
        <f t="array" ref="J84">IFERROR((0.75*J$18*FLOOR(J$20,0.05)*0.9*J$35*J$38*o_Isol_Bij_Tijdstip($A84,J$8,J$11))+(0.75*L$18*FLOOR(L$20,0.05)*0.9*L$35*L$38*o_Isol_Bij_Tijdstip($A84,J$8,J$11)),0)</f>
        <v>0</v>
      </c>
      <c r="K84" s="196" t="s">
        <v>11</v>
      </c>
      <c r="L84" s="196"/>
      <c r="M84" s="196"/>
      <c r="N84" s="197" cm="1">
        <f t="array" ref="N84">IFERROR((0.75*N$18*FLOOR(N$20,0.05)*0.9*N$35*N$38*o_Isol_Bij_Tijdstip($A84,N$8,N$11))+(0.75*P$18*FLOOR(P$20,0.05)*0.9*P$35*P$38*o_Isol_Bij_Tijdstip($A84,N$8,N$11)),0)</f>
        <v>0</v>
      </c>
      <c r="O84" s="196" t="s">
        <v>11</v>
      </c>
      <c r="P84" s="196"/>
      <c r="Q84" s="196"/>
      <c r="R84" s="197" cm="1">
        <f t="array" ref="R84">IFERROR(IF(R$10="Nee",0,(0.75*R$18*FLOOR(R$20,0.05)*0.9*R$35*R$38*o_Isol_Bij_Tijdstip($A84,R$8,R$11))+(0.75*T$18*FLOOR(T$20,0.05)*0.9*T$35*T$38*o_Isol_Bij_Tijdstip($A84,R$8,R$11))),0)</f>
        <v>0</v>
      </c>
      <c r="S84" s="196" t="s">
        <v>11</v>
      </c>
      <c r="T84" s="197">
        <f t="shared" si="0"/>
        <v>0</v>
      </c>
      <c r="U84" s="196" t="s">
        <v>11</v>
      </c>
    </row>
    <row r="85" spans="1:21" hidden="1" x14ac:dyDescent="0.2">
      <c r="A85" s="201">
        <v>0.70833333333333504</v>
      </c>
      <c r="B85" s="197" cm="1">
        <f t="array" ref="B85">IFERROR((0.75*B$18*FLOOR(B$20,0.05)*0.9*B$35*B$38*o_Isol_Bij_Tijdstip($A85,B$8,B$11))+(0.75*D$18*FLOOR(D$20,0.05)*0.9*D$35*D$38*o_Isol_Bij_Tijdstip($A85,B$8,B$11)),0)</f>
        <v>0</v>
      </c>
      <c r="C85" s="196" t="s">
        <v>11</v>
      </c>
      <c r="D85" s="196">
        <v>30.6</v>
      </c>
      <c r="E85" s="196"/>
      <c r="F85" s="197" cm="1">
        <f t="array" ref="F85">IFERROR((0.75*F$18*FLOOR(F$20,0.05)*0.9*F$35*F$38*o_Isol_Bij_Tijdstip($A85,F$8,F$11))+(0.75*H$18*FLOOR(H$20,0.05)*0.9*H$35*H$38*o_Isol_Bij_Tijdstip($A85,F$8,F$11)),0)</f>
        <v>0</v>
      </c>
      <c r="G85" s="196" t="s">
        <v>11</v>
      </c>
      <c r="H85" s="196"/>
      <c r="I85" s="196"/>
      <c r="J85" s="197" cm="1">
        <f t="array" ref="J85">IFERROR((0.75*J$18*FLOOR(J$20,0.05)*0.9*J$35*J$38*o_Isol_Bij_Tijdstip($A85,J$8,J$11))+(0.75*L$18*FLOOR(L$20,0.05)*0.9*L$35*L$38*o_Isol_Bij_Tijdstip($A85,J$8,J$11)),0)</f>
        <v>0</v>
      </c>
      <c r="K85" s="196" t="s">
        <v>11</v>
      </c>
      <c r="L85" s="196"/>
      <c r="M85" s="196"/>
      <c r="N85" s="197" cm="1">
        <f t="array" ref="N85">IFERROR((0.75*N$18*FLOOR(N$20,0.05)*0.9*N$35*N$38*o_Isol_Bij_Tijdstip($A85,N$8,N$11))+(0.75*P$18*FLOOR(P$20,0.05)*0.9*P$35*P$38*o_Isol_Bij_Tijdstip($A85,N$8,N$11)),0)</f>
        <v>0</v>
      </c>
      <c r="O85" s="196" t="s">
        <v>11</v>
      </c>
      <c r="P85" s="196"/>
      <c r="Q85" s="196"/>
      <c r="R85" s="197" cm="1">
        <f t="array" ref="R85">IFERROR(IF(R$10="Nee",0,(0.75*R$18*FLOOR(R$20,0.05)*0.9*R$35*R$38*o_Isol_Bij_Tijdstip($A85,R$8,R$11))+(0.75*T$18*FLOOR(T$20,0.05)*0.9*T$35*T$38*o_Isol_Bij_Tijdstip($A85,R$8,R$11))),0)</f>
        <v>0</v>
      </c>
      <c r="S85" s="196" t="s">
        <v>11</v>
      </c>
      <c r="T85" s="197">
        <f t="shared" si="0"/>
        <v>0</v>
      </c>
      <c r="U85" s="196" t="s">
        <v>11</v>
      </c>
    </row>
    <row r="86" spans="1:21" hidden="1" x14ac:dyDescent="0.2">
      <c r="A86" s="201">
        <v>0.750000000000002</v>
      </c>
      <c r="B86" s="197" cm="1">
        <f t="array" ref="B86">IFERROR((0.75*B$18*FLOOR(B$20,0.05)*0.9*B$35*B$38*o_Isol_Bij_Tijdstip($A86,B$8,B$11))+(0.75*D$18*FLOOR(D$20,0.05)*0.9*D$35*D$38*o_Isol_Bij_Tijdstip($A86,B$8,B$11)),0)</f>
        <v>0</v>
      </c>
      <c r="C86" s="196" t="s">
        <v>11</v>
      </c>
      <c r="D86" s="196">
        <v>30.1</v>
      </c>
      <c r="E86" s="196"/>
      <c r="F86" s="197" cm="1">
        <f t="array" ref="F86">IFERROR((0.75*F$18*FLOOR(F$20,0.05)*0.9*F$35*F$38*o_Isol_Bij_Tijdstip($A86,F$8,F$11))+(0.75*H$18*FLOOR(H$20,0.05)*0.9*H$35*H$38*o_Isol_Bij_Tijdstip($A86,F$8,F$11)),0)</f>
        <v>0</v>
      </c>
      <c r="G86" s="196" t="s">
        <v>11</v>
      </c>
      <c r="H86" s="196"/>
      <c r="I86" s="196"/>
      <c r="J86" s="197" cm="1">
        <f t="array" ref="J86">IFERROR((0.75*J$18*FLOOR(J$20,0.05)*0.9*J$35*J$38*o_Isol_Bij_Tijdstip($A86,J$8,J$11))+(0.75*L$18*FLOOR(L$20,0.05)*0.9*L$35*L$38*o_Isol_Bij_Tijdstip($A86,J$8,J$11)),0)</f>
        <v>0</v>
      </c>
      <c r="K86" s="196" t="s">
        <v>11</v>
      </c>
      <c r="L86" s="196"/>
      <c r="M86" s="196"/>
      <c r="N86" s="197" cm="1">
        <f t="array" ref="N86">IFERROR((0.75*N$18*FLOOR(N$20,0.05)*0.9*N$35*N$38*o_Isol_Bij_Tijdstip($A86,N$8,N$11))+(0.75*P$18*FLOOR(P$20,0.05)*0.9*P$35*P$38*o_Isol_Bij_Tijdstip($A86,N$8,N$11)),0)</f>
        <v>0</v>
      </c>
      <c r="O86" s="196" t="s">
        <v>11</v>
      </c>
      <c r="P86" s="196"/>
      <c r="Q86" s="196"/>
      <c r="R86" s="197" cm="1">
        <f t="array" ref="R86">IFERROR(IF(R$10="Nee",0,(0.75*R$18*FLOOR(R$20,0.05)*0.9*R$35*R$38*o_Isol_Bij_Tijdstip($A86,R$8,R$11))+(0.75*T$18*FLOOR(T$20,0.05)*0.9*T$35*T$38*o_Isol_Bij_Tijdstip($A86,R$8,R$11))),0)</f>
        <v>0</v>
      </c>
      <c r="S86" s="196" t="s">
        <v>11</v>
      </c>
      <c r="T86" s="197">
        <f t="shared" si="0"/>
        <v>0</v>
      </c>
      <c r="U86" s="196" t="s">
        <v>11</v>
      </c>
    </row>
    <row r="87" spans="1:21" hidden="1" x14ac:dyDescent="0.2">
      <c r="A87" s="201"/>
      <c r="B87" s="196"/>
      <c r="C87" s="196"/>
      <c r="D87" s="196"/>
      <c r="E87" s="196"/>
      <c r="F87" s="196"/>
      <c r="G87" s="196"/>
      <c r="H87" s="196"/>
      <c r="I87" s="196"/>
      <c r="J87" s="196"/>
      <c r="K87" s="196"/>
      <c r="L87" s="196"/>
      <c r="M87" s="196"/>
      <c r="N87" s="196"/>
      <c r="O87" s="196"/>
      <c r="P87" s="196"/>
      <c r="Q87" s="196"/>
      <c r="R87" s="196"/>
      <c r="S87" s="196"/>
      <c r="T87" s="196"/>
      <c r="U87" s="196"/>
    </row>
    <row r="88" spans="1:21" hidden="1" x14ac:dyDescent="0.2">
      <c r="A88" s="196" t="s">
        <v>151</v>
      </c>
      <c r="B88" s="200" t="str">
        <f>IF(MAX(T77:T86)=0,"Geen glas aanwezig",_xlfn.XLOOKUP(MAX(T77:T86),T77:T86,A77:A86,"nvt"))</f>
        <v>Geen glas aanwezig</v>
      </c>
      <c r="C88" s="196"/>
      <c r="D88" s="196"/>
      <c r="E88" s="196"/>
      <c r="F88" s="196"/>
      <c r="G88" s="196"/>
      <c r="H88" s="196"/>
      <c r="I88" s="196"/>
      <c r="J88" s="196"/>
      <c r="K88" s="196"/>
      <c r="L88" s="196"/>
      <c r="M88" s="196"/>
      <c r="N88" s="196"/>
      <c r="O88" s="196"/>
      <c r="P88" s="196"/>
      <c r="Q88" s="196"/>
      <c r="R88" s="196"/>
      <c r="S88" s="196"/>
      <c r="T88" s="196"/>
      <c r="U88" s="196"/>
    </row>
    <row r="89" spans="1:21" hidden="1" x14ac:dyDescent="0.2"/>
    <row r="90" spans="1:21" hidden="1" x14ac:dyDescent="0.2"/>
    <row r="91" spans="1:21" hidden="1" x14ac:dyDescent="0.2"/>
    <row r="92" spans="1:21" hidden="1" x14ac:dyDescent="0.2"/>
    <row r="93" spans="1:21" hidden="1" x14ac:dyDescent="0.2"/>
    <row r="94" spans="1:21" hidden="1" x14ac:dyDescent="0.2"/>
    <row r="95" spans="1:21" hidden="1" x14ac:dyDescent="0.2"/>
  </sheetData>
  <sheetProtection algorithmName="SHA-512" hashValue="BsOlgA4WZ5bwv0wyaxiZEfUNe/7SDOo/DZFU6M7U2npCDEosjS2ib4pXArcERygnuoarujF1dqVSK/MIYGhTXA==" saltValue="K+eBKp2XgsthBVtZxTnK5Q==" spinCount="100000" sheet="1" objects="1" scenarios="1" selectLockedCells="1"/>
  <mergeCells count="41">
    <mergeCell ref="B60:D60"/>
    <mergeCell ref="B61:D61"/>
    <mergeCell ref="B63:D63"/>
    <mergeCell ref="B64:D64"/>
    <mergeCell ref="B57:D57"/>
    <mergeCell ref="F57:H57"/>
    <mergeCell ref="J57:L57"/>
    <mergeCell ref="N57:P57"/>
    <mergeCell ref="R57:T57"/>
    <mergeCell ref="B58:D58"/>
    <mergeCell ref="F58:H58"/>
    <mergeCell ref="J58:L58"/>
    <mergeCell ref="N58:P58"/>
    <mergeCell ref="R58:T58"/>
    <mergeCell ref="R41:T41"/>
    <mergeCell ref="B56:D56"/>
    <mergeCell ref="F56:H56"/>
    <mergeCell ref="J56:L56"/>
    <mergeCell ref="N56:P56"/>
    <mergeCell ref="R56:T56"/>
    <mergeCell ref="B55:D55"/>
    <mergeCell ref="F55:H55"/>
    <mergeCell ref="J55:L55"/>
    <mergeCell ref="N55:P55"/>
    <mergeCell ref="R55:T55"/>
    <mergeCell ref="A71:U72"/>
    <mergeCell ref="A1:U1"/>
    <mergeCell ref="B7:D7"/>
    <mergeCell ref="F7:H7"/>
    <mergeCell ref="J7:L7"/>
    <mergeCell ref="N7:P7"/>
    <mergeCell ref="R7:U7"/>
    <mergeCell ref="B42:D42"/>
    <mergeCell ref="F42:H42"/>
    <mergeCell ref="J42:L42"/>
    <mergeCell ref="N42:P42"/>
    <mergeCell ref="R42:T42"/>
    <mergeCell ref="B41:D41"/>
    <mergeCell ref="F41:H41"/>
    <mergeCell ref="J41:L41"/>
    <mergeCell ref="N41:P41"/>
  </mergeCells>
  <conditionalFormatting sqref="B77:B86">
    <cfRule type="colorScale" priority="6">
      <colorScale>
        <cfvo type="min"/>
        <cfvo type="percentile" val="50"/>
        <cfvo type="max"/>
        <color rgb="FF61D6FF"/>
        <color rgb="FFFFD85D"/>
        <color rgb="FFFF6D6D"/>
      </colorScale>
    </cfRule>
  </conditionalFormatting>
  <conditionalFormatting sqref="T77:T86">
    <cfRule type="colorScale" priority="5">
      <colorScale>
        <cfvo type="min"/>
        <cfvo type="percentile" val="50"/>
        <cfvo type="max"/>
        <color rgb="FF61D6FF"/>
        <color rgb="FFFFD85D"/>
        <color rgb="FFFF6D6D"/>
      </colorScale>
    </cfRule>
  </conditionalFormatting>
  <conditionalFormatting sqref="F77:F86">
    <cfRule type="colorScale" priority="4">
      <colorScale>
        <cfvo type="min"/>
        <cfvo type="percentile" val="50"/>
        <cfvo type="max"/>
        <color rgb="FF61D6FF"/>
        <color rgb="FFFFD85D"/>
        <color rgb="FFFF6D6D"/>
      </colorScale>
    </cfRule>
  </conditionalFormatting>
  <conditionalFormatting sqref="J77:J86">
    <cfRule type="colorScale" priority="3">
      <colorScale>
        <cfvo type="min"/>
        <cfvo type="percentile" val="50"/>
        <cfvo type="max"/>
        <color rgb="FF61D6FF"/>
        <color rgb="FFFFD85D"/>
        <color rgb="FFFF6D6D"/>
      </colorScale>
    </cfRule>
  </conditionalFormatting>
  <conditionalFormatting sqref="N77:N86">
    <cfRule type="colorScale" priority="2">
      <colorScale>
        <cfvo type="min"/>
        <cfvo type="percentile" val="50"/>
        <cfvo type="max"/>
        <color rgb="FF61D6FF"/>
        <color rgb="FFFFD85D"/>
        <color rgb="FFFF6D6D"/>
      </colorScale>
    </cfRule>
  </conditionalFormatting>
  <conditionalFormatting sqref="R77:R86">
    <cfRule type="colorScale" priority="1">
      <colorScale>
        <cfvo type="min"/>
        <cfvo type="percentile" val="50"/>
        <cfvo type="max"/>
        <color rgb="FF61D6FF"/>
        <color rgb="FFFFD85D"/>
        <color rgb="FFFF6D6D"/>
      </colorScale>
    </cfRule>
  </conditionalFormatting>
  <dataValidations count="5">
    <dataValidation type="list" allowBlank="1" showInputMessage="1" showErrorMessage="1" sqref="F10 N10 B10 J10 R10" xr:uid="{5DACB7A9-6586-42B7-B569-918800B1AA7D}">
      <formula1>"Nee,Ja"</formula1>
    </dataValidation>
    <dataValidation type="whole" allowBlank="1" showErrorMessage="1" error="Een helling &lt; 15° is en platdak voer deze bij kolom R in. _x000a_90° is de maximale invoerwaarde" sqref="H11 D11 L10:L11 B11 F11 J11 K8:M9 O8:Q10 T11 N11 K10 M10 P11:P12 Q11:Q16 P15:P16" xr:uid="{CC894A14-B1AB-42C9-A7AC-A5A1AF790AE2}">
      <formula1>15</formula1>
      <formula2>90</formula2>
    </dataValidation>
    <dataValidation type="whole" allowBlank="1" showErrorMessage="1" error="Een platdak heeft een helling van maximaal 15°, voor daken in bij gevels op de juiste orientatie" sqref="R11" xr:uid="{E4305D63-9806-4BA6-AAE6-786A1FD7383A}">
      <formula1>0</formula1>
      <formula2>15</formula2>
    </dataValidation>
    <dataValidation type="list" allowBlank="1" showInputMessage="1" showErrorMessage="1" sqref="P30 L30 D30 N30 H30 F30 J30 B30" xr:uid="{393C9E7E-B903-44DE-8DA6-FD1CC3627F68}">
      <formula1>"Links,Rechts,Beide zijden"</formula1>
    </dataValidation>
    <dataValidation type="list" allowBlank="1" showInputMessage="1" showErrorMessage="1" sqref="B4" xr:uid="{91895CC4-FD8E-440F-80DC-75EBEFBAE621}">
      <formula1>"Woonvertrek, Andere verblijfsruimte"</formula1>
    </dataValidation>
  </dataValidations>
  <pageMargins left="0.23622047244094491" right="0.23622047244094491" top="0.74803149606299213" bottom="0.74803149606299213" header="0.31496062992125984" footer="0.31496062992125984"/>
  <pageSetup paperSize="9" scale="48" orientation="landscape" r:id="rId1"/>
  <headerFooter alignWithMargins="0">
    <oddHeader>&amp;CREKENTOOL VEREENVOUDIGDE BEPALINGSMETHODE KOELBEHOEFTE (BIJLAGE AA - VERSIE 2025 -NTA 8800)&amp;Rversie 2025.04 d.d. 09-04-2025</oddHeader>
    <oddFooter>&amp;LPrint datum:&amp;D &amp;T_x000D_&amp;1#&amp;"Calibri"&amp;10&amp;K000000 Intern gebruik&amp;C&amp;F&amp;R&amp;P van &amp;N</oddFooter>
  </headerFooter>
  <drawing r:id="rId2"/>
  <legacyDrawing r:id="rId3"/>
  <controls>
    <mc:AlternateContent xmlns:mc="http://schemas.openxmlformats.org/markup-compatibility/2006">
      <mc:Choice Requires="x14">
        <control shapeId="15375" r:id="rId4" name="CommandButton1">
          <controlPr defaultSize="0" autoLine="0" r:id="rId5">
            <anchor moveWithCells="1">
              <from>
                <xdr:col>3</xdr:col>
                <xdr:colOff>209550</xdr:colOff>
                <xdr:row>1</xdr:row>
                <xdr:rowOff>133350</xdr:rowOff>
              </from>
              <to>
                <xdr:col>5</xdr:col>
                <xdr:colOff>38100</xdr:colOff>
                <xdr:row>4</xdr:row>
                <xdr:rowOff>9525</xdr:rowOff>
              </to>
            </anchor>
          </controlPr>
        </control>
      </mc:Choice>
      <mc:Fallback>
        <control shapeId="15375" r:id="rId4" name="CommandButton1"/>
      </mc:Fallback>
    </mc:AlternateContent>
  </controls>
  <extLst>
    <ext xmlns:x14="http://schemas.microsoft.com/office/spreadsheetml/2009/9/main" uri="{CCE6A557-97BC-4b89-ADB6-D9C93CAAB3DF}">
      <x14:dataValidations xmlns:xm="http://schemas.microsoft.com/office/excel/2006/main" count="5">
        <x14:dataValidation type="list" allowBlank="1" showInputMessage="1" showErrorMessage="1" xr:uid="{FE824434-C82D-411B-A2FB-2C4F1BC693BF}">
          <x14:formula1>
            <xm:f>Tabellen!$A$85:$A$99</xm:f>
          </x14:formula1>
          <xm:sqref>P37 N37 D37 B37 H37 L37 F37 J37</xm:sqref>
        </x14:dataValidation>
        <x14:dataValidation type="list" allowBlank="1" showInputMessage="1" showErrorMessage="1" xr:uid="{CD7D3E92-1B78-4997-BCE3-5EC94619A9A1}">
          <x14:formula1>
            <xm:f>Tabellen!$A$111:$A$113</xm:f>
          </x14:formula1>
          <xm:sqref>R21 T21</xm:sqref>
        </x14:dataValidation>
        <x14:dataValidation type="list" allowBlank="1" showInputMessage="1" showErrorMessage="1" xr:uid="{50D6604D-79D0-4905-9B09-BF17563FBD1A}">
          <x14:formula1>
            <xm:f>Tabellen!$A$103:$A$108</xm:f>
          </x14:formula1>
          <xm:sqref>L21 H21 B21 D21 N21 F21 P21 J21</xm:sqref>
        </x14:dataValidation>
        <x14:dataValidation type="list" allowBlank="1" showInputMessage="1" showErrorMessage="1" xr:uid="{36E3A19F-304E-4636-876E-BA9AE9C6FC86}">
          <x14:formula1>
            <xm:f>Tabellen!$A$42:$A$49</xm:f>
          </x14:formula1>
          <xm:sqref>F8 J8 N8</xm:sqref>
        </x14:dataValidation>
        <x14:dataValidation type="list" allowBlank="1" showInputMessage="1" showErrorMessage="1" xr:uid="{45434E50-6891-4B15-A780-274B604F495F}">
          <x14:formula1>
            <xm:f>Tabellen!$A$85:$A$97</xm:f>
          </x14:formula1>
          <xm:sqref>R37 T37</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2CD56-C808-45B9-B11E-19212BE062B0}">
  <sheetPr codeName="Blad16">
    <pageSetUpPr fitToPage="1"/>
  </sheetPr>
  <dimension ref="A1:U95"/>
  <sheetViews>
    <sheetView showGridLines="0" zoomScale="90" zoomScaleNormal="90" workbookViewId="0">
      <selection activeCell="B3" sqref="B3"/>
    </sheetView>
  </sheetViews>
  <sheetFormatPr defaultColWidth="9.140625" defaultRowHeight="12" x14ac:dyDescent="0.2"/>
  <cols>
    <col min="1" max="1" width="49.7109375" style="202" bestFit="1" customWidth="1"/>
    <col min="2" max="2" width="18.28515625" style="202" customWidth="1"/>
    <col min="3" max="3" width="6.28515625" style="202" bestFit="1" customWidth="1"/>
    <col min="4" max="4" width="18.28515625" style="202" customWidth="1"/>
    <col min="5" max="5" width="6.28515625" style="202" bestFit="1" customWidth="1"/>
    <col min="6" max="6" width="18.28515625" style="202" customWidth="1"/>
    <col min="7" max="7" width="6.28515625" style="202" bestFit="1" customWidth="1"/>
    <col min="8" max="8" width="18.28515625" style="202" customWidth="1"/>
    <col min="9" max="9" width="6.28515625" style="202" bestFit="1" customWidth="1"/>
    <col min="10" max="10" width="18.28515625" style="202" customWidth="1"/>
    <col min="11" max="11" width="6.28515625" style="202" bestFit="1" customWidth="1"/>
    <col min="12" max="12" width="18.28515625" style="202" customWidth="1"/>
    <col min="13" max="13" width="6.28515625" style="202" bestFit="1" customWidth="1"/>
    <col min="14" max="14" width="18.28515625" style="202" customWidth="1"/>
    <col min="15" max="15" width="6.28515625" style="202" bestFit="1" customWidth="1"/>
    <col min="16" max="16" width="18.28515625" style="202" customWidth="1"/>
    <col min="17" max="17" width="6.28515625" style="202" bestFit="1" customWidth="1"/>
    <col min="18" max="18" width="18.28515625" style="202" customWidth="1"/>
    <col min="19" max="19" width="6.28515625" style="202" bestFit="1" customWidth="1"/>
    <col min="20" max="20" width="18.28515625" style="194" customWidth="1"/>
    <col min="21" max="21" width="6.7109375" style="194" bestFit="1" customWidth="1"/>
    <col min="22" max="16384" width="9.140625" style="194"/>
  </cols>
  <sheetData>
    <row r="1" spans="1:21" s="192" customFormat="1" ht="24" customHeight="1" x14ac:dyDescent="0.2">
      <c r="A1" s="251" t="s">
        <v>204</v>
      </c>
      <c r="B1" s="251"/>
      <c r="C1" s="251"/>
      <c r="D1" s="251"/>
      <c r="E1" s="251"/>
      <c r="F1" s="251"/>
      <c r="G1" s="251"/>
      <c r="H1" s="251"/>
      <c r="I1" s="251"/>
      <c r="J1" s="251"/>
      <c r="K1" s="251"/>
      <c r="L1" s="251"/>
      <c r="M1" s="251"/>
      <c r="N1" s="251"/>
      <c r="O1" s="251"/>
      <c r="P1" s="251"/>
      <c r="Q1" s="251"/>
      <c r="R1" s="251"/>
      <c r="S1" s="251"/>
      <c r="T1" s="251"/>
      <c r="U1" s="251"/>
    </row>
    <row r="2" spans="1:21" s="193" customFormat="1" ht="12" customHeight="1" x14ac:dyDescent="0.2">
      <c r="A2" s="65"/>
      <c r="B2" s="75"/>
      <c r="C2" s="75"/>
      <c r="D2" s="75"/>
      <c r="E2" s="75"/>
      <c r="F2" s="75"/>
      <c r="G2" s="75"/>
      <c r="H2" s="75"/>
      <c r="I2" s="75"/>
      <c r="J2" s="75"/>
      <c r="K2" s="75"/>
      <c r="L2" s="75"/>
      <c r="M2" s="75"/>
      <c r="N2" s="75"/>
      <c r="O2" s="75"/>
      <c r="P2" s="75"/>
      <c r="Q2" s="75"/>
      <c r="R2" s="35"/>
      <c r="S2" s="35"/>
      <c r="T2" s="35"/>
      <c r="U2" s="35"/>
    </row>
    <row r="3" spans="1:21" ht="12" customHeight="1" x14ac:dyDescent="0.2">
      <c r="A3" s="36" t="s">
        <v>107</v>
      </c>
      <c r="B3" s="221"/>
      <c r="C3" s="75"/>
      <c r="D3" s="75"/>
      <c r="E3" s="75"/>
      <c r="F3" s="35"/>
      <c r="G3" s="75"/>
      <c r="H3" s="75"/>
      <c r="I3" s="75"/>
      <c r="J3" s="75"/>
      <c r="K3" s="75"/>
      <c r="L3" s="75"/>
      <c r="M3" s="75"/>
      <c r="N3" s="75"/>
      <c r="O3" s="75"/>
      <c r="P3" s="75"/>
      <c r="Q3" s="75"/>
      <c r="R3" s="35"/>
      <c r="S3" s="35"/>
      <c r="T3" s="35"/>
      <c r="U3" s="35"/>
    </row>
    <row r="4" spans="1:21" ht="12" customHeight="1" x14ac:dyDescent="0.2">
      <c r="A4" s="36" t="s">
        <v>191</v>
      </c>
      <c r="B4" s="33" t="s">
        <v>195</v>
      </c>
      <c r="C4" s="75"/>
      <c r="D4" s="75"/>
      <c r="E4" s="75"/>
      <c r="F4" s="35"/>
      <c r="G4" s="75"/>
      <c r="H4" s="75"/>
      <c r="I4" s="75"/>
      <c r="J4" s="75"/>
      <c r="K4" s="75"/>
      <c r="L4" s="75"/>
      <c r="M4" s="75"/>
      <c r="N4" s="75"/>
      <c r="O4" s="75"/>
      <c r="P4" s="75"/>
      <c r="Q4" s="75"/>
      <c r="R4" s="35"/>
      <c r="S4" s="35"/>
      <c r="T4" s="35"/>
      <c r="U4" s="35"/>
    </row>
    <row r="5" spans="1:21" ht="12" customHeight="1" x14ac:dyDescent="0.25">
      <c r="A5" s="39" t="s">
        <v>180</v>
      </c>
      <c r="B5" s="34">
        <v>0</v>
      </c>
      <c r="C5" s="36" t="s">
        <v>0</v>
      </c>
      <c r="D5" s="75"/>
      <c r="E5" s="75"/>
      <c r="F5" s="35"/>
      <c r="G5" s="75"/>
      <c r="H5" s="75"/>
      <c r="I5" s="75"/>
      <c r="J5" s="75"/>
      <c r="K5" s="75"/>
      <c r="L5" s="75"/>
      <c r="M5" s="75"/>
      <c r="N5" s="75"/>
      <c r="O5" s="75"/>
      <c r="P5" s="75"/>
      <c r="Q5" s="75"/>
      <c r="R5" s="35"/>
      <c r="S5" s="35"/>
      <c r="T5" s="35"/>
      <c r="U5" s="35"/>
    </row>
    <row r="6" spans="1:21" s="195" customFormat="1" ht="12" customHeight="1" x14ac:dyDescent="0.2">
      <c r="A6" s="75"/>
      <c r="B6" s="75"/>
      <c r="C6" s="75"/>
      <c r="D6" s="75"/>
      <c r="E6" s="75"/>
      <c r="F6" s="75"/>
      <c r="G6" s="75"/>
      <c r="H6" s="75"/>
      <c r="I6" s="75"/>
      <c r="J6" s="75"/>
      <c r="K6" s="75"/>
      <c r="L6" s="75"/>
      <c r="M6" s="75"/>
      <c r="N6" s="75"/>
      <c r="O6" s="75"/>
      <c r="P6" s="75"/>
      <c r="Q6" s="75"/>
      <c r="R6" s="75"/>
      <c r="S6" s="35"/>
      <c r="T6" s="35"/>
      <c r="U6" s="35"/>
    </row>
    <row r="7" spans="1:21" s="193" customFormat="1" ht="12" customHeight="1" x14ac:dyDescent="0.2">
      <c r="A7" s="65"/>
      <c r="B7" s="237" t="s">
        <v>181</v>
      </c>
      <c r="C7" s="237"/>
      <c r="D7" s="237"/>
      <c r="E7" s="76"/>
      <c r="F7" s="238" t="s">
        <v>182</v>
      </c>
      <c r="G7" s="237"/>
      <c r="H7" s="237"/>
      <c r="I7" s="76"/>
      <c r="J7" s="237" t="s">
        <v>183</v>
      </c>
      <c r="K7" s="237"/>
      <c r="L7" s="237"/>
      <c r="M7" s="76"/>
      <c r="N7" s="237" t="s">
        <v>184</v>
      </c>
      <c r="O7" s="237"/>
      <c r="P7" s="237"/>
      <c r="Q7" s="76"/>
      <c r="R7" s="238" t="s">
        <v>5</v>
      </c>
      <c r="S7" s="238"/>
      <c r="T7" s="238"/>
      <c r="U7" s="238"/>
    </row>
    <row r="8" spans="1:21" s="195" customFormat="1" ht="12" customHeight="1" x14ac:dyDescent="0.2">
      <c r="A8" s="72" t="s">
        <v>129</v>
      </c>
      <c r="B8" s="77">
        <f>'Projectgegevens en Resultaten'!$B$17</f>
        <v>0</v>
      </c>
      <c r="C8" s="183"/>
      <c r="D8" s="183"/>
      <c r="E8" s="183"/>
      <c r="F8" s="184" t="str">
        <f>o_Orientatie(F9)</f>
        <v>Oost</v>
      </c>
      <c r="G8" s="183"/>
      <c r="H8" s="183"/>
      <c r="I8" s="183"/>
      <c r="J8" s="184" t="str">
        <f>o_Orientatie(J9)</f>
        <v>Zuid</v>
      </c>
      <c r="K8" s="185"/>
      <c r="L8" s="185"/>
      <c r="M8" s="185"/>
      <c r="N8" s="184" t="str">
        <f>o_Orientatie(N9)</f>
        <v>West</v>
      </c>
      <c r="O8" s="185"/>
      <c r="P8" s="185"/>
      <c r="Q8" s="185"/>
      <c r="R8" s="186" t="s">
        <v>62</v>
      </c>
      <c r="S8" s="79"/>
      <c r="T8" s="78"/>
      <c r="U8" s="78"/>
    </row>
    <row r="9" spans="1:21" ht="12" hidden="1" customHeight="1" x14ac:dyDescent="0.2">
      <c r="A9" s="70" t="s">
        <v>132</v>
      </c>
      <c r="B9" s="80" cm="1">
        <f t="array" ref="B9">o_OrientatiehOEK(B8)</f>
        <v>0</v>
      </c>
      <c r="C9" s="187"/>
      <c r="D9" s="187"/>
      <c r="E9" s="187"/>
      <c r="F9" s="80">
        <f>IF(B9+90&gt;360,B9+90-360,B9+90)</f>
        <v>90</v>
      </c>
      <c r="G9" s="188"/>
      <c r="H9" s="188"/>
      <c r="I9" s="188"/>
      <c r="J9" s="80">
        <f>IF(F9+90&gt;360,F9+90-360,F9+90)</f>
        <v>180</v>
      </c>
      <c r="K9" s="185"/>
      <c r="L9" s="185"/>
      <c r="M9" s="185"/>
      <c r="N9" s="80">
        <f>IF(J9+90&gt;360,J9+90-360,J9+90)</f>
        <v>270</v>
      </c>
      <c r="O9" s="185"/>
      <c r="P9" s="185"/>
      <c r="Q9" s="185"/>
      <c r="R9" s="188"/>
      <c r="S9" s="79"/>
      <c r="T9" s="104"/>
      <c r="U9" s="104"/>
    </row>
    <row r="10" spans="1:21" s="195" customFormat="1" x14ac:dyDescent="0.2">
      <c r="A10" s="70" t="s">
        <v>102</v>
      </c>
      <c r="B10" s="44" t="s">
        <v>101</v>
      </c>
      <c r="C10" s="187"/>
      <c r="D10" s="187"/>
      <c r="E10" s="187"/>
      <c r="F10" s="44" t="s">
        <v>101</v>
      </c>
      <c r="G10" s="187"/>
      <c r="H10" s="187"/>
      <c r="I10" s="187"/>
      <c r="J10" s="44" t="s">
        <v>101</v>
      </c>
      <c r="K10" s="189"/>
      <c r="L10" s="189"/>
      <c r="M10" s="189"/>
      <c r="N10" s="44" t="s">
        <v>101</v>
      </c>
      <c r="O10" s="189"/>
      <c r="P10" s="189"/>
      <c r="Q10" s="189"/>
      <c r="R10" s="44" t="s">
        <v>101</v>
      </c>
      <c r="S10" s="82"/>
      <c r="T10" s="81"/>
      <c r="U10" s="81"/>
    </row>
    <row r="11" spans="1:21" s="195" customFormat="1" ht="12" customHeight="1" x14ac:dyDescent="0.2">
      <c r="A11" s="70" t="s">
        <v>133</v>
      </c>
      <c r="B11" s="210">
        <v>90</v>
      </c>
      <c r="C11" s="214" t="s">
        <v>103</v>
      </c>
      <c r="D11" s="210"/>
      <c r="E11" s="219"/>
      <c r="F11" s="210">
        <v>90</v>
      </c>
      <c r="G11" s="214" t="s">
        <v>103</v>
      </c>
      <c r="H11" s="210"/>
      <c r="I11" s="214"/>
      <c r="J11" s="210">
        <v>90</v>
      </c>
      <c r="K11" s="214" t="s">
        <v>103</v>
      </c>
      <c r="L11" s="210"/>
      <c r="M11" s="214"/>
      <c r="N11" s="210">
        <v>90</v>
      </c>
      <c r="O11" s="214" t="s">
        <v>103</v>
      </c>
      <c r="P11" s="210"/>
      <c r="Q11" s="210"/>
      <c r="R11" s="211">
        <v>0</v>
      </c>
      <c r="S11" s="214" t="s">
        <v>103</v>
      </c>
      <c r="T11" s="210"/>
      <c r="U11" s="214"/>
    </row>
    <row r="12" spans="1:21" s="195" customFormat="1" ht="12" customHeight="1" x14ac:dyDescent="0.2">
      <c r="A12" s="70" t="s">
        <v>130</v>
      </c>
      <c r="B12" s="211" t="str" cm="1">
        <f t="array" ref="B12">o_TypeConstructie(B10,B11)</f>
        <v>Woningscheidend</v>
      </c>
      <c r="C12" s="211"/>
      <c r="D12" s="211"/>
      <c r="E12" s="209"/>
      <c r="F12" s="211" t="str" cm="1">
        <f t="array" ref="F12">o_TypeConstructie(F10,F11)</f>
        <v>Woningscheidend</v>
      </c>
      <c r="G12" s="209"/>
      <c r="H12" s="211"/>
      <c r="I12" s="209"/>
      <c r="J12" s="211" t="str" cm="1">
        <f t="array" ref="J12">o_TypeConstructie(J10,J11)</f>
        <v>Woningscheidend</v>
      </c>
      <c r="K12" s="209"/>
      <c r="L12" s="211"/>
      <c r="M12" s="209"/>
      <c r="N12" s="211" t="str" cm="1">
        <f t="array" ref="N12">o_TypeConstructie(N10,N11)</f>
        <v>Woningscheidend</v>
      </c>
      <c r="O12" s="209"/>
      <c r="P12" s="211"/>
      <c r="Q12" s="211"/>
      <c r="R12" s="211" t="str" cm="1">
        <f t="array" ref="R12">o_TypeConstructie(R10,R11)</f>
        <v>Woningscheidend</v>
      </c>
      <c r="S12" s="207"/>
      <c r="T12" s="210"/>
      <c r="U12" s="214"/>
    </row>
    <row r="13" spans="1:21" s="195" customFormat="1" ht="12" customHeight="1" x14ac:dyDescent="0.2">
      <c r="A13" s="70" t="s">
        <v>127</v>
      </c>
      <c r="B13" s="207"/>
      <c r="C13" s="207" t="s">
        <v>1</v>
      </c>
      <c r="D13" s="207"/>
      <c r="E13" s="208"/>
      <c r="F13" s="207"/>
      <c r="G13" s="207" t="s">
        <v>1</v>
      </c>
      <c r="H13" s="207"/>
      <c r="I13" s="208"/>
      <c r="J13" s="207"/>
      <c r="K13" s="207" t="s">
        <v>1</v>
      </c>
      <c r="L13" s="207"/>
      <c r="M13" s="208"/>
      <c r="N13" s="207"/>
      <c r="O13" s="207" t="s">
        <v>1</v>
      </c>
      <c r="P13" s="207"/>
      <c r="Q13" s="208"/>
      <c r="R13" s="207"/>
      <c r="S13" s="207" t="s">
        <v>1</v>
      </c>
      <c r="T13" s="208"/>
      <c r="U13" s="208"/>
    </row>
    <row r="14" spans="1:21" s="195" customFormat="1" ht="12" customHeight="1" x14ac:dyDescent="0.2">
      <c r="A14" s="83" t="s">
        <v>128</v>
      </c>
      <c r="B14" s="207"/>
      <c r="C14" s="207" t="s">
        <v>1</v>
      </c>
      <c r="D14" s="207"/>
      <c r="E14" s="208"/>
      <c r="F14" s="207"/>
      <c r="G14" s="207" t="s">
        <v>1</v>
      </c>
      <c r="H14" s="207"/>
      <c r="I14" s="208"/>
      <c r="J14" s="207"/>
      <c r="K14" s="207" t="s">
        <v>1</v>
      </c>
      <c r="L14" s="207"/>
      <c r="M14" s="208"/>
      <c r="N14" s="207"/>
      <c r="O14" s="207" t="s">
        <v>1</v>
      </c>
      <c r="P14" s="207"/>
      <c r="Q14" s="208"/>
      <c r="R14" s="207"/>
      <c r="S14" s="207" t="s">
        <v>1</v>
      </c>
      <c r="T14" s="208"/>
      <c r="U14" s="208"/>
    </row>
    <row r="15" spans="1:21" s="195" customFormat="1" ht="12" customHeight="1" x14ac:dyDescent="0.2">
      <c r="A15" s="36" t="s">
        <v>104</v>
      </c>
      <c r="B15" s="208">
        <f>B13*B14</f>
        <v>0</v>
      </c>
      <c r="C15" s="208" t="s">
        <v>0</v>
      </c>
      <c r="D15" s="208"/>
      <c r="E15" s="208"/>
      <c r="F15" s="208">
        <f>F13*F14</f>
        <v>0</v>
      </c>
      <c r="G15" s="208" t="s">
        <v>0</v>
      </c>
      <c r="H15" s="208"/>
      <c r="I15" s="208"/>
      <c r="J15" s="208">
        <f>J13*J14</f>
        <v>0</v>
      </c>
      <c r="K15" s="208" t="s">
        <v>0</v>
      </c>
      <c r="L15" s="208"/>
      <c r="M15" s="208"/>
      <c r="N15" s="208">
        <f>N13*N14</f>
        <v>0</v>
      </c>
      <c r="O15" s="208" t="s">
        <v>0</v>
      </c>
      <c r="P15" s="208"/>
      <c r="Q15" s="208"/>
      <c r="R15" s="208">
        <f>R13*R14</f>
        <v>0</v>
      </c>
      <c r="S15" s="207" t="s">
        <v>0</v>
      </c>
      <c r="T15" s="208"/>
      <c r="U15" s="208"/>
    </row>
    <row r="16" spans="1:21" s="195" customFormat="1" ht="12" customHeight="1" x14ac:dyDescent="0.2">
      <c r="A16" s="36" t="s">
        <v>105</v>
      </c>
      <c r="B16" s="208">
        <f>MAX(0,B15-B18-D18)</f>
        <v>0</v>
      </c>
      <c r="C16" s="208" t="s">
        <v>0</v>
      </c>
      <c r="D16" s="208"/>
      <c r="E16" s="208"/>
      <c r="F16" s="208">
        <f>MAX(0,F15-F18-H18)</f>
        <v>0</v>
      </c>
      <c r="G16" s="208" t="s">
        <v>0</v>
      </c>
      <c r="H16" s="208"/>
      <c r="I16" s="208"/>
      <c r="J16" s="208">
        <f>MAX(0,J15-J18-L18)</f>
        <v>0</v>
      </c>
      <c r="K16" s="208" t="s">
        <v>0</v>
      </c>
      <c r="L16" s="208"/>
      <c r="M16" s="208"/>
      <c r="N16" s="208">
        <f>MAX(0,N15-N18-P18)</f>
        <v>0</v>
      </c>
      <c r="O16" s="208" t="s">
        <v>0</v>
      </c>
      <c r="P16" s="210"/>
      <c r="Q16" s="210"/>
      <c r="R16" s="208">
        <f>MAX(0,R15-R18-T18)</f>
        <v>0</v>
      </c>
      <c r="S16" s="207" t="s">
        <v>0</v>
      </c>
      <c r="T16" s="208"/>
      <c r="U16" s="208"/>
    </row>
    <row r="17" spans="1:21" s="195" customFormat="1" ht="12" customHeight="1" x14ac:dyDescent="0.2">
      <c r="A17" s="75"/>
      <c r="B17" s="215" t="s">
        <v>123</v>
      </c>
      <c r="C17" s="84"/>
      <c r="D17" s="215" t="s">
        <v>124</v>
      </c>
      <c r="E17" s="84"/>
      <c r="F17" s="215" t="s">
        <v>123</v>
      </c>
      <c r="G17" s="84"/>
      <c r="H17" s="215" t="s">
        <v>124</v>
      </c>
      <c r="I17" s="84"/>
      <c r="J17" s="215" t="s">
        <v>123</v>
      </c>
      <c r="K17" s="84"/>
      <c r="L17" s="215" t="s">
        <v>124</v>
      </c>
      <c r="M17" s="84"/>
      <c r="N17" s="215" t="s">
        <v>123</v>
      </c>
      <c r="O17" s="84"/>
      <c r="P17" s="215" t="s">
        <v>124</v>
      </c>
      <c r="Q17" s="84"/>
      <c r="R17" s="215" t="s">
        <v>123</v>
      </c>
      <c r="S17" s="84"/>
      <c r="T17" s="215" t="s">
        <v>124</v>
      </c>
      <c r="U17" s="84"/>
    </row>
    <row r="18" spans="1:21" s="195" customFormat="1" ht="12" customHeight="1" x14ac:dyDescent="0.25">
      <c r="A18" s="36" t="s">
        <v>218</v>
      </c>
      <c r="B18" s="209"/>
      <c r="C18" s="208" t="s">
        <v>0</v>
      </c>
      <c r="D18" s="210"/>
      <c r="E18" s="208" t="s">
        <v>0</v>
      </c>
      <c r="F18" s="210"/>
      <c r="G18" s="208" t="s">
        <v>0</v>
      </c>
      <c r="H18" s="210"/>
      <c r="I18" s="208" t="s">
        <v>0</v>
      </c>
      <c r="J18" s="210"/>
      <c r="K18" s="208" t="s">
        <v>0</v>
      </c>
      <c r="L18" s="210"/>
      <c r="M18" s="208" t="s">
        <v>0</v>
      </c>
      <c r="N18" s="210"/>
      <c r="O18" s="208" t="s">
        <v>0</v>
      </c>
      <c r="P18" s="210"/>
      <c r="Q18" s="208" t="s">
        <v>0</v>
      </c>
      <c r="R18" s="210"/>
      <c r="S18" s="208" t="s">
        <v>0</v>
      </c>
      <c r="T18" s="210"/>
      <c r="U18" s="208" t="s">
        <v>0</v>
      </c>
    </row>
    <row r="19" spans="1:21" s="195" customFormat="1" ht="12" customHeight="1" x14ac:dyDescent="0.25">
      <c r="A19" s="36" t="s">
        <v>134</v>
      </c>
      <c r="B19" s="209"/>
      <c r="C19" s="208" t="s">
        <v>98</v>
      </c>
      <c r="D19" s="210"/>
      <c r="E19" s="208" t="s">
        <v>98</v>
      </c>
      <c r="F19" s="210"/>
      <c r="G19" s="208" t="s">
        <v>98</v>
      </c>
      <c r="H19" s="210"/>
      <c r="I19" s="208" t="s">
        <v>98</v>
      </c>
      <c r="J19" s="210"/>
      <c r="K19" s="208" t="s">
        <v>98</v>
      </c>
      <c r="L19" s="210"/>
      <c r="M19" s="208" t="s">
        <v>98</v>
      </c>
      <c r="N19" s="210"/>
      <c r="O19" s="208" t="s">
        <v>98</v>
      </c>
      <c r="P19" s="210"/>
      <c r="Q19" s="208" t="s">
        <v>98</v>
      </c>
      <c r="R19" s="210"/>
      <c r="S19" s="208" t="s">
        <v>98</v>
      </c>
      <c r="T19" s="210"/>
      <c r="U19" s="208" t="s">
        <v>98</v>
      </c>
    </row>
    <row r="20" spans="1:21" s="195" customFormat="1" ht="12" customHeight="1" x14ac:dyDescent="0.2">
      <c r="A20" s="66" t="s">
        <v>221</v>
      </c>
      <c r="B20" s="209">
        <v>1</v>
      </c>
      <c r="C20" s="208"/>
      <c r="D20" s="210">
        <v>1</v>
      </c>
      <c r="E20" s="208"/>
      <c r="F20" s="210">
        <v>1</v>
      </c>
      <c r="G20" s="208"/>
      <c r="H20" s="210">
        <v>1</v>
      </c>
      <c r="I20" s="208"/>
      <c r="J20" s="210">
        <v>1</v>
      </c>
      <c r="K20" s="208"/>
      <c r="L20" s="210">
        <v>1</v>
      </c>
      <c r="M20" s="208"/>
      <c r="N20" s="210">
        <v>1</v>
      </c>
      <c r="O20" s="207"/>
      <c r="P20" s="210">
        <v>1</v>
      </c>
      <c r="Q20" s="208"/>
      <c r="R20" s="210">
        <v>1</v>
      </c>
      <c r="S20" s="207"/>
      <c r="T20" s="210">
        <v>1</v>
      </c>
      <c r="U20" s="208"/>
    </row>
    <row r="21" spans="1:21" s="195" customFormat="1" ht="12" customHeight="1" x14ac:dyDescent="0.2">
      <c r="A21" s="67" t="s">
        <v>219</v>
      </c>
      <c r="B21" s="220" t="s">
        <v>111</v>
      </c>
      <c r="C21" s="212"/>
      <c r="D21" s="220" t="s">
        <v>111</v>
      </c>
      <c r="E21" s="212"/>
      <c r="F21" s="220" t="s">
        <v>111</v>
      </c>
      <c r="G21" s="212"/>
      <c r="H21" s="220" t="s">
        <v>111</v>
      </c>
      <c r="I21" s="212"/>
      <c r="J21" s="220" t="s">
        <v>111</v>
      </c>
      <c r="K21" s="212"/>
      <c r="L21" s="220" t="s">
        <v>111</v>
      </c>
      <c r="M21" s="212"/>
      <c r="N21" s="220" t="s">
        <v>111</v>
      </c>
      <c r="O21" s="213"/>
      <c r="P21" s="220" t="s">
        <v>111</v>
      </c>
      <c r="Q21" s="212"/>
      <c r="R21" s="220" t="s">
        <v>111</v>
      </c>
      <c r="S21" s="213"/>
      <c r="T21" s="220" t="s">
        <v>111</v>
      </c>
      <c r="U21" s="208"/>
    </row>
    <row r="22" spans="1:21" s="195" customFormat="1" ht="68.25" customHeight="1" x14ac:dyDescent="0.2">
      <c r="A22" s="85"/>
      <c r="B22" s="208"/>
      <c r="C22" s="208"/>
      <c r="D22" s="208"/>
      <c r="E22" s="208"/>
      <c r="F22" s="208"/>
      <c r="G22" s="208"/>
      <c r="H22" s="208"/>
      <c r="I22" s="208"/>
      <c r="J22" s="208"/>
      <c r="K22" s="208"/>
      <c r="L22" s="208"/>
      <c r="M22" s="208"/>
      <c r="N22" s="208"/>
      <c r="O22" s="208"/>
      <c r="P22" s="208"/>
      <c r="Q22" s="208"/>
      <c r="R22" s="208"/>
      <c r="S22" s="207"/>
      <c r="T22" s="208"/>
      <c r="U22" s="208"/>
    </row>
    <row r="23" spans="1:21" s="195" customFormat="1" x14ac:dyDescent="0.2">
      <c r="A23" s="85"/>
      <c r="B23" s="215" t="s">
        <v>166</v>
      </c>
      <c r="C23" s="208"/>
      <c r="D23" s="215" t="s">
        <v>166</v>
      </c>
      <c r="E23" s="208"/>
      <c r="F23" s="215" t="s">
        <v>166</v>
      </c>
      <c r="G23" s="208"/>
      <c r="H23" s="215" t="s">
        <v>166</v>
      </c>
      <c r="I23" s="208"/>
      <c r="J23" s="215" t="s">
        <v>166</v>
      </c>
      <c r="K23" s="208"/>
      <c r="L23" s="215" t="s">
        <v>166</v>
      </c>
      <c r="M23" s="208"/>
      <c r="N23" s="215" t="s">
        <v>166</v>
      </c>
      <c r="O23" s="208"/>
      <c r="P23" s="215" t="s">
        <v>166</v>
      </c>
      <c r="Q23" s="208"/>
      <c r="R23" s="215"/>
      <c r="S23" s="208"/>
      <c r="T23" s="215"/>
      <c r="U23" s="208"/>
    </row>
    <row r="24" spans="1:21" s="195" customFormat="1" ht="12" customHeight="1" x14ac:dyDescent="0.2">
      <c r="A24" s="86" t="s">
        <v>120</v>
      </c>
      <c r="B24" s="216">
        <v>0</v>
      </c>
      <c r="C24" s="87" t="s">
        <v>1</v>
      </c>
      <c r="D24" s="216">
        <v>0</v>
      </c>
      <c r="E24" s="87" t="s">
        <v>1</v>
      </c>
      <c r="F24" s="216">
        <v>0</v>
      </c>
      <c r="G24" s="87" t="s">
        <v>1</v>
      </c>
      <c r="H24" s="216">
        <v>0</v>
      </c>
      <c r="I24" s="87" t="s">
        <v>1</v>
      </c>
      <c r="J24" s="216">
        <v>0</v>
      </c>
      <c r="K24" s="87" t="s">
        <v>1</v>
      </c>
      <c r="L24" s="216">
        <v>0</v>
      </c>
      <c r="M24" s="87" t="s">
        <v>1</v>
      </c>
      <c r="N24" s="216">
        <v>0</v>
      </c>
      <c r="O24" s="87" t="s">
        <v>1</v>
      </c>
      <c r="P24" s="216">
        <v>0</v>
      </c>
      <c r="Q24" s="87" t="s">
        <v>1</v>
      </c>
      <c r="R24" s="216">
        <v>0</v>
      </c>
      <c r="S24" s="87"/>
      <c r="T24" s="216">
        <v>0</v>
      </c>
      <c r="U24" s="87" t="s">
        <v>1</v>
      </c>
    </row>
    <row r="25" spans="1:21" s="195" customFormat="1" ht="12" customHeight="1" x14ac:dyDescent="0.2">
      <c r="A25" s="88" t="s">
        <v>121</v>
      </c>
      <c r="B25" s="216">
        <v>0</v>
      </c>
      <c r="C25" s="87" t="s">
        <v>1</v>
      </c>
      <c r="D25" s="216">
        <v>0</v>
      </c>
      <c r="E25" s="87" t="s">
        <v>1</v>
      </c>
      <c r="F25" s="216">
        <v>0</v>
      </c>
      <c r="G25" s="87" t="s">
        <v>1</v>
      </c>
      <c r="H25" s="216">
        <v>0</v>
      </c>
      <c r="I25" s="87" t="s">
        <v>1</v>
      </c>
      <c r="J25" s="216">
        <v>0</v>
      </c>
      <c r="K25" s="87" t="s">
        <v>1</v>
      </c>
      <c r="L25" s="216">
        <v>0</v>
      </c>
      <c r="M25" s="87" t="s">
        <v>1</v>
      </c>
      <c r="N25" s="216">
        <v>0</v>
      </c>
      <c r="O25" s="87" t="s">
        <v>1</v>
      </c>
      <c r="P25" s="216">
        <v>0</v>
      </c>
      <c r="Q25" s="87" t="s">
        <v>1</v>
      </c>
      <c r="R25" s="216">
        <v>0</v>
      </c>
      <c r="S25" s="87"/>
      <c r="T25" s="216">
        <v>0</v>
      </c>
      <c r="U25" s="87" t="s">
        <v>1</v>
      </c>
    </row>
    <row r="26" spans="1:21" s="195" customFormat="1" ht="12" customHeight="1" x14ac:dyDescent="0.2">
      <c r="A26" s="89" t="s">
        <v>163</v>
      </c>
      <c r="B26" s="217">
        <f>IFERROR(180/PI()*ATAN(B24/B25),0)</f>
        <v>0</v>
      </c>
      <c r="C26" s="90" t="s">
        <v>103</v>
      </c>
      <c r="D26" s="217">
        <f>IFERROR(180/PI()*ATAN(D24/D25),0)</f>
        <v>0</v>
      </c>
      <c r="E26" s="90" t="s">
        <v>103</v>
      </c>
      <c r="F26" s="217">
        <f>IFERROR(180/PI()*ATAN(F24/F25),0)</f>
        <v>0</v>
      </c>
      <c r="G26" s="90" t="s">
        <v>103</v>
      </c>
      <c r="H26" s="217">
        <f>IFERROR(180/PI()*ATAN(H24/H25),0)</f>
        <v>0</v>
      </c>
      <c r="I26" s="90" t="s">
        <v>103</v>
      </c>
      <c r="J26" s="217">
        <f>IFERROR(180/PI()*ATAN(J24/J25),0)</f>
        <v>0</v>
      </c>
      <c r="K26" s="90" t="s">
        <v>103</v>
      </c>
      <c r="L26" s="217">
        <f>IFERROR(180/PI()*ATAN(L24/L25),0)</f>
        <v>0</v>
      </c>
      <c r="M26" s="90" t="s">
        <v>103</v>
      </c>
      <c r="N26" s="217">
        <f>IFERROR(180/PI()*ATAN(N24/N25),0)</f>
        <v>0</v>
      </c>
      <c r="O26" s="90" t="s">
        <v>103</v>
      </c>
      <c r="P26" s="217">
        <f>IFERROR(180/PI()*ATAN(P24/P25),0)</f>
        <v>0</v>
      </c>
      <c r="Q26" s="90" t="s">
        <v>103</v>
      </c>
      <c r="R26" s="217"/>
      <c r="S26" s="90"/>
      <c r="T26" s="217"/>
      <c r="U26" s="90" t="s">
        <v>103</v>
      </c>
    </row>
    <row r="27" spans="1:21" s="195" customFormat="1" ht="12" customHeight="1" x14ac:dyDescent="0.2">
      <c r="A27" s="89" t="s">
        <v>119</v>
      </c>
      <c r="B27" s="216">
        <f>IFERROR(B24/B25,1)</f>
        <v>1</v>
      </c>
      <c r="C27" s="87"/>
      <c r="D27" s="216">
        <f>IFERROR(D24/D25,1)</f>
        <v>1</v>
      </c>
      <c r="E27" s="87"/>
      <c r="F27" s="216">
        <f>IFERROR(F24/F25,1)</f>
        <v>1</v>
      </c>
      <c r="G27" s="87"/>
      <c r="H27" s="216">
        <f>IFERROR(H24/H25,1)</f>
        <v>1</v>
      </c>
      <c r="I27" s="87"/>
      <c r="J27" s="216">
        <f>IFERROR(J24/J25,1)</f>
        <v>1</v>
      </c>
      <c r="K27" s="87"/>
      <c r="L27" s="216">
        <f>IFERROR(L24/L25,1)</f>
        <v>1</v>
      </c>
      <c r="M27" s="87"/>
      <c r="N27" s="216">
        <f>IFERROR(N24/N25,1)</f>
        <v>1</v>
      </c>
      <c r="O27" s="87"/>
      <c r="P27" s="216">
        <f>IFERROR(P24/P25,1)</f>
        <v>1</v>
      </c>
      <c r="Q27" s="87"/>
      <c r="R27" s="216"/>
      <c r="S27" s="87"/>
      <c r="T27" s="216"/>
      <c r="U27" s="87"/>
    </row>
    <row r="28" spans="1:21" s="195" customFormat="1" ht="101.25" customHeight="1" x14ac:dyDescent="0.2">
      <c r="A28" s="91"/>
      <c r="B28" s="208"/>
      <c r="C28" s="208"/>
      <c r="D28" s="208"/>
      <c r="E28" s="208"/>
      <c r="F28" s="208"/>
      <c r="G28" s="208"/>
      <c r="H28" s="208"/>
      <c r="I28" s="208"/>
      <c r="J28" s="208"/>
      <c r="K28" s="208"/>
      <c r="L28" s="208"/>
      <c r="M28" s="208"/>
      <c r="N28" s="208"/>
      <c r="O28" s="208"/>
      <c r="P28" s="208"/>
      <c r="Q28" s="208"/>
      <c r="R28" s="215"/>
      <c r="S28" s="215"/>
      <c r="T28" s="215"/>
      <c r="U28" s="208"/>
    </row>
    <row r="29" spans="1:21" s="195" customFormat="1" x14ac:dyDescent="0.2">
      <c r="A29" s="91"/>
      <c r="B29" s="215" t="s">
        <v>113</v>
      </c>
      <c r="C29" s="208"/>
      <c r="D29" s="215" t="s">
        <v>113</v>
      </c>
      <c r="E29" s="208"/>
      <c r="F29" s="215" t="s">
        <v>113</v>
      </c>
      <c r="G29" s="208"/>
      <c r="H29" s="215" t="s">
        <v>113</v>
      </c>
      <c r="I29" s="208"/>
      <c r="J29" s="215" t="s">
        <v>113</v>
      </c>
      <c r="K29" s="208"/>
      <c r="L29" s="215" t="s">
        <v>113</v>
      </c>
      <c r="M29" s="208"/>
      <c r="N29" s="215" t="s">
        <v>113</v>
      </c>
      <c r="O29" s="208"/>
      <c r="P29" s="215" t="s">
        <v>113</v>
      </c>
      <c r="Q29" s="208"/>
      <c r="R29" s="215"/>
      <c r="S29" s="215"/>
      <c r="T29" s="215"/>
      <c r="U29" s="208"/>
    </row>
    <row r="30" spans="1:21" s="195" customFormat="1" ht="12" customHeight="1" x14ac:dyDescent="0.2">
      <c r="A30" s="89" t="s">
        <v>158</v>
      </c>
      <c r="B30" s="216" t="s">
        <v>252</v>
      </c>
      <c r="C30" s="87"/>
      <c r="D30" s="216" t="s">
        <v>252</v>
      </c>
      <c r="E30" s="87"/>
      <c r="F30" s="216" t="s">
        <v>252</v>
      </c>
      <c r="G30" s="87"/>
      <c r="H30" s="216" t="s">
        <v>252</v>
      </c>
      <c r="I30" s="87"/>
      <c r="J30" s="216" t="s">
        <v>252</v>
      </c>
      <c r="K30" s="87"/>
      <c r="L30" s="216" t="s">
        <v>252</v>
      </c>
      <c r="M30" s="87"/>
      <c r="N30" s="216" t="s">
        <v>252</v>
      </c>
      <c r="O30" s="87"/>
      <c r="P30" s="216" t="s">
        <v>252</v>
      </c>
      <c r="Q30" s="87"/>
      <c r="R30" s="215" t="s">
        <v>252</v>
      </c>
      <c r="S30" s="215"/>
      <c r="T30" s="215" t="s">
        <v>252</v>
      </c>
      <c r="U30" s="87"/>
    </row>
    <row r="31" spans="1:21" s="195" customFormat="1" ht="12" customHeight="1" x14ac:dyDescent="0.2">
      <c r="A31" s="89" t="s">
        <v>155</v>
      </c>
      <c r="B31" s="216">
        <v>0</v>
      </c>
      <c r="C31" s="87" t="s">
        <v>1</v>
      </c>
      <c r="D31" s="216">
        <v>0</v>
      </c>
      <c r="E31" s="87" t="s">
        <v>1</v>
      </c>
      <c r="F31" s="216">
        <v>0</v>
      </c>
      <c r="G31" s="87" t="s">
        <v>1</v>
      </c>
      <c r="H31" s="216">
        <v>0</v>
      </c>
      <c r="I31" s="87" t="s">
        <v>1</v>
      </c>
      <c r="J31" s="216">
        <v>0</v>
      </c>
      <c r="K31" s="87" t="s">
        <v>1</v>
      </c>
      <c r="L31" s="216">
        <v>0</v>
      </c>
      <c r="M31" s="87" t="s">
        <v>1</v>
      </c>
      <c r="N31" s="216">
        <v>0</v>
      </c>
      <c r="O31" s="87" t="s">
        <v>1</v>
      </c>
      <c r="P31" s="216">
        <v>0</v>
      </c>
      <c r="Q31" s="87" t="s">
        <v>1</v>
      </c>
      <c r="R31" s="215">
        <v>0</v>
      </c>
      <c r="S31" s="215"/>
      <c r="T31" s="215">
        <v>0</v>
      </c>
      <c r="U31" s="87" t="s">
        <v>1</v>
      </c>
    </row>
    <row r="32" spans="1:21" s="195" customFormat="1" ht="12" customHeight="1" x14ac:dyDescent="0.2">
      <c r="A32" s="89" t="s">
        <v>156</v>
      </c>
      <c r="B32" s="216">
        <v>0</v>
      </c>
      <c r="C32" s="90" t="s">
        <v>1</v>
      </c>
      <c r="D32" s="216">
        <v>0</v>
      </c>
      <c r="E32" s="90" t="s">
        <v>1</v>
      </c>
      <c r="F32" s="216">
        <v>0</v>
      </c>
      <c r="G32" s="90" t="s">
        <v>1</v>
      </c>
      <c r="H32" s="216">
        <v>0</v>
      </c>
      <c r="I32" s="90" t="s">
        <v>1</v>
      </c>
      <c r="J32" s="216">
        <v>0</v>
      </c>
      <c r="K32" s="90" t="s">
        <v>1</v>
      </c>
      <c r="L32" s="216">
        <v>0</v>
      </c>
      <c r="M32" s="90" t="s">
        <v>1</v>
      </c>
      <c r="N32" s="216">
        <v>0</v>
      </c>
      <c r="O32" s="90" t="s">
        <v>1</v>
      </c>
      <c r="P32" s="216">
        <v>0</v>
      </c>
      <c r="Q32" s="90" t="s">
        <v>1</v>
      </c>
      <c r="R32" s="215">
        <v>0</v>
      </c>
      <c r="S32" s="215"/>
      <c r="T32" s="215">
        <v>0</v>
      </c>
      <c r="U32" s="87" t="s">
        <v>1</v>
      </c>
    </row>
    <row r="33" spans="1:21" s="195" customFormat="1" ht="12" customHeight="1" x14ac:dyDescent="0.25">
      <c r="A33" s="89" t="s">
        <v>157</v>
      </c>
      <c r="B33" s="216">
        <f>IFERROR(B31/B32,999)</f>
        <v>999</v>
      </c>
      <c r="C33" s="87"/>
      <c r="D33" s="216">
        <f>IFERROR(D31/D32,999)</f>
        <v>999</v>
      </c>
      <c r="E33" s="87"/>
      <c r="F33" s="216">
        <f>IFERROR(F31/F32,999)</f>
        <v>999</v>
      </c>
      <c r="G33" s="87"/>
      <c r="H33" s="216">
        <f>IFERROR(H31/H32,999)</f>
        <v>999</v>
      </c>
      <c r="I33" s="87"/>
      <c r="J33" s="216">
        <f>IFERROR(J31/J32,999)</f>
        <v>999</v>
      </c>
      <c r="K33" s="87"/>
      <c r="L33" s="216">
        <f>IFERROR(L31/L32,999)</f>
        <v>999</v>
      </c>
      <c r="M33" s="87"/>
      <c r="N33" s="216">
        <f>IFERROR(N31/N32,999)</f>
        <v>999</v>
      </c>
      <c r="O33" s="87"/>
      <c r="P33" s="216">
        <f>IFERROR(P31/P32,999)</f>
        <v>999</v>
      </c>
      <c r="Q33" s="87"/>
      <c r="R33" s="215"/>
      <c r="S33" s="215"/>
      <c r="T33" s="215"/>
      <c r="U33" s="87"/>
    </row>
    <row r="34" spans="1:21" s="195" customFormat="1" x14ac:dyDescent="0.2">
      <c r="A34" s="75"/>
      <c r="B34" s="84"/>
      <c r="C34" s="84"/>
      <c r="D34" s="84"/>
      <c r="E34" s="84"/>
      <c r="F34" s="84"/>
      <c r="G34" s="84"/>
      <c r="H34" s="84"/>
      <c r="I34" s="84"/>
      <c r="J34" s="84"/>
      <c r="K34" s="84"/>
      <c r="L34" s="84"/>
      <c r="M34" s="84"/>
      <c r="N34" s="84"/>
      <c r="O34" s="84"/>
      <c r="P34" s="84"/>
      <c r="Q34" s="84"/>
      <c r="R34" s="84"/>
      <c r="S34" s="84"/>
      <c r="T34" s="84"/>
      <c r="U34" s="84"/>
    </row>
    <row r="35" spans="1:21" s="195" customFormat="1" ht="12" customHeight="1" x14ac:dyDescent="0.25">
      <c r="A35" s="36" t="s">
        <v>135</v>
      </c>
      <c r="B35" s="216" cm="1">
        <f t="array" ref="B35">IFERROR(o_Beschaduwingreductie(B21,B8,B27,B30,B33,B11),1)</f>
        <v>1</v>
      </c>
      <c r="C35" s="208"/>
      <c r="D35" s="216" cm="1">
        <f t="array" ref="D35">IFERROR(o_Beschaduwingreductie(D21,B8,D27,D30,D33,B11),1)</f>
        <v>1</v>
      </c>
      <c r="E35" s="208"/>
      <c r="F35" s="216" cm="1">
        <f t="array" ref="F35">IFERROR(o_Beschaduwingreductie(F21,F8,F27,F30,F33,F11),1)</f>
        <v>1</v>
      </c>
      <c r="G35" s="208"/>
      <c r="H35" s="216" cm="1">
        <f t="array" ref="H35">IFERROR(o_Beschaduwingreductie(H21,F8,H27,H30,H33,F11),1)</f>
        <v>1</v>
      </c>
      <c r="I35" s="208"/>
      <c r="J35" s="216" cm="1">
        <f t="array" ref="J35">IFERROR(o_Beschaduwingreductie(J21,J8,J27,J30,J33,J11),1)</f>
        <v>1</v>
      </c>
      <c r="K35" s="208"/>
      <c r="L35" s="216" cm="1">
        <f t="array" ref="L35">IFERROR(o_Beschaduwingreductie(L21,J8,L27,L30,L33,J11),1)</f>
        <v>1</v>
      </c>
      <c r="M35" s="208"/>
      <c r="N35" s="216" cm="1">
        <f t="array" ref="N35">IFERROR(o_Beschaduwingreductie(N21,N8,N27,N30,N33,N11),1)</f>
        <v>1</v>
      </c>
      <c r="O35" s="208"/>
      <c r="P35" s="216" cm="1">
        <f t="array" ref="P35">IFERROR(o_Beschaduwingreductie(P21,N8,P27,P30,P33,N11),1)</f>
        <v>1</v>
      </c>
      <c r="Q35" s="208"/>
      <c r="R35" s="159" cm="1">
        <f t="array" ref="R35">o_Beschaduwingreductie(R21,R8,R27,R30,R33,R11)</f>
        <v>1</v>
      </c>
      <c r="S35" s="207"/>
      <c r="T35" s="216" cm="1">
        <f t="array" ref="T35">o_Beschaduwingreductie(T21,R8,T27,T30,T33,R11)</f>
        <v>1</v>
      </c>
      <c r="U35" s="208"/>
    </row>
    <row r="36" spans="1:21" s="195" customFormat="1" x14ac:dyDescent="0.2">
      <c r="A36" s="75"/>
      <c r="B36" s="84"/>
      <c r="C36" s="84"/>
      <c r="D36" s="84"/>
      <c r="E36" s="84"/>
      <c r="F36" s="84"/>
      <c r="G36" s="84"/>
      <c r="H36" s="84"/>
      <c r="I36" s="84"/>
      <c r="J36" s="84"/>
      <c r="K36" s="84"/>
      <c r="L36" s="84"/>
      <c r="M36" s="84"/>
      <c r="N36" s="84"/>
      <c r="O36" s="84"/>
      <c r="P36" s="84"/>
      <c r="Q36" s="84"/>
      <c r="R36" s="84"/>
      <c r="S36" s="84"/>
      <c r="T36" s="84"/>
      <c r="U36" s="84"/>
    </row>
    <row r="37" spans="1:21" s="195" customFormat="1" ht="12" customHeight="1" x14ac:dyDescent="0.2">
      <c r="A37" s="36" t="s">
        <v>82</v>
      </c>
      <c r="B37" s="220" t="s">
        <v>84</v>
      </c>
      <c r="C37" s="218"/>
      <c r="D37" s="220" t="s">
        <v>84</v>
      </c>
      <c r="E37" s="212"/>
      <c r="F37" s="220" t="s">
        <v>84</v>
      </c>
      <c r="G37" s="218"/>
      <c r="H37" s="220" t="s">
        <v>84</v>
      </c>
      <c r="I37" s="212"/>
      <c r="J37" s="220" t="s">
        <v>84</v>
      </c>
      <c r="K37" s="218"/>
      <c r="L37" s="220" t="s">
        <v>84</v>
      </c>
      <c r="M37" s="212"/>
      <c r="N37" s="220" t="s">
        <v>84</v>
      </c>
      <c r="O37" s="218"/>
      <c r="P37" s="220" t="s">
        <v>84</v>
      </c>
      <c r="Q37" s="212"/>
      <c r="R37" s="220" t="s">
        <v>84</v>
      </c>
      <c r="S37" s="218"/>
      <c r="T37" s="220" t="s">
        <v>84</v>
      </c>
      <c r="U37" s="208"/>
    </row>
    <row r="38" spans="1:21" s="195" customFormat="1" ht="12" customHeight="1" x14ac:dyDescent="0.25">
      <c r="A38" s="36" t="s">
        <v>136</v>
      </c>
      <c r="B38" s="159" cm="1">
        <f t="array" ref="B38">o_Zonweringreductie(B37,B8)</f>
        <v>1</v>
      </c>
      <c r="C38" s="208"/>
      <c r="D38" s="159" cm="1">
        <f t="array" ref="D38">o_Zonweringreductie(D37,B8)</f>
        <v>1</v>
      </c>
      <c r="E38" s="208"/>
      <c r="F38" s="159" cm="1">
        <f t="array" ref="F38">o_Zonweringreductie(F37,F8)</f>
        <v>1</v>
      </c>
      <c r="G38" s="208"/>
      <c r="H38" s="159" cm="1">
        <f t="array" ref="H38">o_Zonweringreductie(H37,F8)</f>
        <v>1</v>
      </c>
      <c r="I38" s="208"/>
      <c r="J38" s="159" cm="1">
        <f t="array" ref="J38">o_Zonweringreductie(J37,J8)</f>
        <v>1</v>
      </c>
      <c r="K38" s="208"/>
      <c r="L38" s="159" cm="1">
        <f t="array" ref="L38">o_Zonweringreductie(L37,J8)</f>
        <v>1</v>
      </c>
      <c r="M38" s="208"/>
      <c r="N38" s="159" cm="1">
        <f t="array" ref="N38">o_Zonweringreductie(N37,N8)</f>
        <v>1</v>
      </c>
      <c r="O38" s="208"/>
      <c r="P38" s="159" cm="1">
        <f t="array" ref="P38">o_Zonweringreductie(P37,N8)</f>
        <v>1</v>
      </c>
      <c r="Q38" s="208"/>
      <c r="R38" s="159" cm="1">
        <f t="array" ref="R38">o_Zonweringreductie(R37,R8)</f>
        <v>1</v>
      </c>
      <c r="S38" s="208"/>
      <c r="T38" s="159" cm="1">
        <f t="array" ref="T38">o_Zonweringreductie(T37,R8)</f>
        <v>1</v>
      </c>
      <c r="U38" s="208"/>
    </row>
    <row r="39" spans="1:21" s="195" customFormat="1" ht="12" customHeight="1" x14ac:dyDescent="0.25">
      <c r="A39" s="36" t="s">
        <v>137</v>
      </c>
      <c r="B39" s="159" cm="1">
        <f t="array" ref="B39">IF(B10="Nee",0,o_Isol_Bij_Tijdstip($B$52,B8,B11))</f>
        <v>0</v>
      </c>
      <c r="C39" s="208" t="s">
        <v>12</v>
      </c>
      <c r="D39" s="159" cm="1">
        <f t="array" ref="D39">IF(B10="Nee",0,o_Isol_Bij_Tijdstip($B$52,B8,B11))</f>
        <v>0</v>
      </c>
      <c r="E39" s="208" t="s">
        <v>12</v>
      </c>
      <c r="F39" s="159" cm="1">
        <f t="array" ref="F39">IF(F10="Nee",0,o_Isol_Bij_Tijdstip($B$52,F8,F11))</f>
        <v>0</v>
      </c>
      <c r="G39" s="208" t="s">
        <v>12</v>
      </c>
      <c r="H39" s="159" cm="1">
        <f t="array" ref="H39">IF(F10="Nee",0,o_Isol_Bij_Tijdstip($B$52,F8,F11))</f>
        <v>0</v>
      </c>
      <c r="I39" s="208" t="s">
        <v>12</v>
      </c>
      <c r="J39" s="159" cm="1">
        <f t="array" ref="J39">IF(J10="Nee",0,o_Isol_Bij_Tijdstip($B$52,J8,J11))</f>
        <v>0</v>
      </c>
      <c r="K39" s="208" t="s">
        <v>12</v>
      </c>
      <c r="L39" s="159" cm="1">
        <f t="array" ref="L39">IF(J10="Nee",0,o_Isol_Bij_Tijdstip($B$52,J8,J11))</f>
        <v>0</v>
      </c>
      <c r="M39" s="208" t="s">
        <v>12</v>
      </c>
      <c r="N39" s="159" cm="1">
        <f t="array" ref="N39">IF(N10="Nee",0,o_Isol_Bij_Tijdstip($B$52,N8,N11))</f>
        <v>0</v>
      </c>
      <c r="O39" s="208" t="s">
        <v>12</v>
      </c>
      <c r="P39" s="159" cm="1">
        <f t="array" ref="P39">IF(N10="Nee",0,o_Isol_Bij_Tijdstip($B$52,N8,N11))</f>
        <v>0</v>
      </c>
      <c r="Q39" s="208" t="s">
        <v>12</v>
      </c>
      <c r="R39" s="159" cm="1">
        <f t="array" ref="R39">IF(R10="Nee",0,o_Isol_Bij_Tijdstip($B$52,R8,R11))</f>
        <v>0</v>
      </c>
      <c r="S39" s="208" t="s">
        <v>12</v>
      </c>
      <c r="T39" s="159" cm="1">
        <f t="array" ref="T39">IF(R10="Nee",0,o_Isol_Bij_Tijdstip($B$52,R8,R11))</f>
        <v>0</v>
      </c>
      <c r="U39" s="208" t="s">
        <v>12</v>
      </c>
    </row>
    <row r="40" spans="1:21" s="195" customFormat="1" x14ac:dyDescent="0.2">
      <c r="A40" s="75"/>
      <c r="B40" s="84"/>
      <c r="C40" s="84"/>
      <c r="D40" s="84"/>
      <c r="E40" s="84"/>
      <c r="F40" s="84"/>
      <c r="G40" s="84"/>
      <c r="H40" s="84"/>
      <c r="I40" s="84"/>
      <c r="J40" s="84"/>
      <c r="K40" s="84"/>
      <c r="L40" s="84"/>
      <c r="M40" s="84"/>
      <c r="N40" s="84"/>
      <c r="O40" s="84"/>
      <c r="P40" s="84"/>
      <c r="Q40" s="84"/>
      <c r="R40" s="84"/>
      <c r="S40" s="84"/>
      <c r="T40" s="84"/>
      <c r="U40" s="84"/>
    </row>
    <row r="41" spans="1:21" s="195" customFormat="1" ht="12" customHeight="1" x14ac:dyDescent="0.25">
      <c r="A41" s="66" t="s">
        <v>138</v>
      </c>
      <c r="B41" s="239" t="e" cm="1">
        <f t="array" ref="B41">VALUE(o_Tijdstip_Isol_Max_Orientatie(B8,B11))</f>
        <v>#VALUE!</v>
      </c>
      <c r="C41" s="239"/>
      <c r="D41" s="240"/>
      <c r="E41" s="87"/>
      <c r="F41" s="239" cm="1">
        <f t="array" ref="F41">VALUE(o_Tijdstip_Isol_Max_Orientatie(F8,F11))</f>
        <v>0.375</v>
      </c>
      <c r="G41" s="239"/>
      <c r="H41" s="240"/>
      <c r="I41" s="87"/>
      <c r="J41" s="239" cm="1">
        <f t="array" ref="J41">VALUE(o_Tijdstip_Isol_Max_Orientatie(J8,J11))</f>
        <v>0.58333333333333337</v>
      </c>
      <c r="K41" s="239"/>
      <c r="L41" s="240"/>
      <c r="M41" s="87"/>
      <c r="N41" s="239" cm="1">
        <f t="array" ref="N41">VALUE(o_Tijdstip_Isol_Max_Orientatie(N8,N11))</f>
        <v>0.625</v>
      </c>
      <c r="O41" s="239"/>
      <c r="P41" s="240"/>
      <c r="Q41" s="87"/>
      <c r="R41" s="239" cm="1">
        <f t="array" ref="R41">VALUE(o_Tijdstip_Isol_Max_Orientatie(R8,R11))</f>
        <v>0.5</v>
      </c>
      <c r="S41" s="239"/>
      <c r="T41" s="240"/>
      <c r="U41" s="84"/>
    </row>
    <row r="42" spans="1:21" s="195" customFormat="1" ht="12" customHeight="1" x14ac:dyDescent="0.25">
      <c r="A42" s="66" t="s">
        <v>139</v>
      </c>
      <c r="B42" s="241" t="e" cm="1">
        <f t="array" ref="B42">o_maxTemp(o_Tijdstip_Isol_Max_Orientatie(B8,B11))</f>
        <v>#VALUE!</v>
      </c>
      <c r="C42" s="241"/>
      <c r="D42" s="241"/>
      <c r="E42" s="207" t="s">
        <v>2</v>
      </c>
      <c r="F42" s="241" cm="1">
        <f t="array" ref="F42">o_maxTemp(o_Tijdstip_Isol_Max_Orientatie(F8,F11))</f>
        <v>24.7</v>
      </c>
      <c r="G42" s="241"/>
      <c r="H42" s="241"/>
      <c r="I42" s="207" t="s">
        <v>2</v>
      </c>
      <c r="J42" s="241" cm="1">
        <f t="array" ref="J42">o_maxTemp(o_Tijdstip_Isol_Max_Orientatie(J8,J11))</f>
        <v>29.9</v>
      </c>
      <c r="K42" s="241"/>
      <c r="L42" s="241"/>
      <c r="M42" s="207" t="s">
        <v>2</v>
      </c>
      <c r="N42" s="241" cm="1">
        <f t="array" ref="N42">o_maxTemp(o_Tijdstip_Isol_Max_Orientatie(N8,N11))</f>
        <v>29.8</v>
      </c>
      <c r="O42" s="241"/>
      <c r="P42" s="241"/>
      <c r="Q42" s="207" t="s">
        <v>2</v>
      </c>
      <c r="R42" s="241" cm="1">
        <f t="array" ref="R42">o_maxTemp(o_Tijdstip_Isol_Max_Orientatie(R8,R11))</f>
        <v>28.9</v>
      </c>
      <c r="S42" s="241"/>
      <c r="T42" s="241"/>
      <c r="U42" s="84"/>
    </row>
    <row r="43" spans="1:21" s="195" customFormat="1" ht="12" customHeight="1" x14ac:dyDescent="0.2">
      <c r="A43" s="75"/>
      <c r="B43" s="75"/>
      <c r="C43" s="75"/>
      <c r="D43" s="75"/>
      <c r="E43" s="35"/>
      <c r="F43" s="75"/>
      <c r="G43" s="75"/>
      <c r="H43" s="75"/>
      <c r="I43" s="75"/>
      <c r="J43" s="75"/>
      <c r="K43" s="75"/>
      <c r="L43" s="75"/>
      <c r="M43" s="75"/>
      <c r="N43" s="75"/>
      <c r="O43" s="75"/>
      <c r="P43" s="75"/>
      <c r="Q43" s="75"/>
      <c r="R43" s="75"/>
      <c r="S43" s="75"/>
      <c r="T43" s="84"/>
      <c r="U43" s="84"/>
    </row>
    <row r="44" spans="1:21" s="195" customFormat="1" ht="12" hidden="1" customHeight="1" x14ac:dyDescent="0.2">
      <c r="A44" s="92" t="s">
        <v>169</v>
      </c>
      <c r="B44" s="96">
        <f>IF(B10="Ja",B18+D18,0)</f>
        <v>0</v>
      </c>
      <c r="C44" s="35" t="s">
        <v>0</v>
      </c>
      <c r="D44" s="75"/>
      <c r="E44" s="35"/>
      <c r="F44" s="96">
        <f>IF(F10="Ja",F18+H18,0)</f>
        <v>0</v>
      </c>
      <c r="G44" s="35" t="s">
        <v>0</v>
      </c>
      <c r="H44" s="75"/>
      <c r="I44" s="75"/>
      <c r="J44" s="96">
        <f>IF(J10="Ja",J18+L18,0)</f>
        <v>0</v>
      </c>
      <c r="K44" s="35" t="s">
        <v>0</v>
      </c>
      <c r="L44" s="75"/>
      <c r="M44" s="75"/>
      <c r="N44" s="96">
        <f>IF(N10="Ja",N18+P18,0)</f>
        <v>0</v>
      </c>
      <c r="O44" s="35" t="s">
        <v>0</v>
      </c>
      <c r="P44" s="75"/>
      <c r="Q44" s="75"/>
      <c r="R44" s="96">
        <f>IF(R10="Ja",R18+T18,0)</f>
        <v>0</v>
      </c>
      <c r="S44" s="35" t="s">
        <v>0</v>
      </c>
      <c r="T44" s="84"/>
      <c r="U44" s="84"/>
    </row>
    <row r="45" spans="1:21" s="195" customFormat="1" ht="12" hidden="1" customHeight="1" x14ac:dyDescent="0.2">
      <c r="A45" s="92" t="s">
        <v>126</v>
      </c>
      <c r="B45" s="93" t="b">
        <f>IF(B10="Ja",IF(B8="Noord",FALSE,TRUE),FALSE)</f>
        <v>0</v>
      </c>
      <c r="C45" s="35"/>
      <c r="D45" s="35"/>
      <c r="E45" s="35"/>
      <c r="F45" s="94" t="b">
        <f>IF(F10="Ja",IF(F8="Noord",FALSE,TRUE),FALSE)</f>
        <v>0</v>
      </c>
      <c r="G45" s="75"/>
      <c r="H45" s="75"/>
      <c r="I45" s="75"/>
      <c r="J45" s="94" t="b">
        <f>IF(J10="Ja",IF(J8="Noord",FALSE,TRUE),FALSE)</f>
        <v>0</v>
      </c>
      <c r="K45" s="75"/>
      <c r="L45" s="75"/>
      <c r="M45" s="75"/>
      <c r="N45" s="94" t="b">
        <f>IF(N10="Ja",IF(N8="Noord",FALSE,TRUE),FALSE)</f>
        <v>0</v>
      </c>
      <c r="O45" s="75"/>
      <c r="P45" s="75"/>
      <c r="Q45" s="75"/>
      <c r="R45" s="94" t="b">
        <f>IF(R10="Ja",IF(R8="Noord",FALSE,TRUE),FALSE)</f>
        <v>0</v>
      </c>
      <c r="S45" s="75"/>
      <c r="T45" s="84"/>
      <c r="U45" s="84"/>
    </row>
    <row r="46" spans="1:21" s="195" customFormat="1" ht="12" hidden="1" customHeight="1" x14ac:dyDescent="0.2">
      <c r="A46" s="92" t="s">
        <v>109</v>
      </c>
      <c r="B46" s="95" t="b">
        <f>IF(AND(B45=TRUE,COUNTIF($B$45:$R$45,TRUE)=1),TRUE,FALSE)</f>
        <v>0</v>
      </c>
      <c r="C46" s="35"/>
      <c r="D46" s="75"/>
      <c r="E46" s="35"/>
      <c r="F46" s="95" t="b">
        <f>IF(AND(F45=TRUE,COUNTIF($B$45:$R$45,TRUE)=1),TRUE,FALSE)</f>
        <v>0</v>
      </c>
      <c r="G46" s="75"/>
      <c r="H46" s="75"/>
      <c r="I46" s="75"/>
      <c r="J46" s="95" t="b">
        <f>IF(AND(J45=TRUE,COUNTIF($B$45:$R$45,TRUE)=1),TRUE,FALSE)</f>
        <v>0</v>
      </c>
      <c r="K46" s="75"/>
      <c r="L46" s="75"/>
      <c r="M46" s="75"/>
      <c r="N46" s="95" t="b">
        <f>IF(AND(N45=TRUE,COUNTIF($B$45:$R$45,TRUE)=1),TRUE,FALSE)</f>
        <v>0</v>
      </c>
      <c r="O46" s="75"/>
      <c r="P46" s="75"/>
      <c r="Q46" s="75"/>
      <c r="R46" s="95" t="b">
        <f>IF(AND(R45=TRUE,COUNTIF($B$45:$R$45,TRUE)=1),TRUE,FALSE)</f>
        <v>0</v>
      </c>
      <c r="S46" s="75"/>
      <c r="T46" s="84"/>
      <c r="U46" s="84"/>
    </row>
    <row r="47" spans="1:21" s="195" customFormat="1" ht="12" hidden="1" customHeight="1" x14ac:dyDescent="0.2">
      <c r="A47" s="92" t="s">
        <v>152</v>
      </c>
      <c r="B47" s="96">
        <f>IF(B8&lt;&gt;"Noord",B44,0)</f>
        <v>0</v>
      </c>
      <c r="C47" s="35" t="s">
        <v>0</v>
      </c>
      <c r="D47" s="75"/>
      <c r="E47" s="35"/>
      <c r="F47" s="96">
        <f>IF(F8&lt;&gt;"Noord",F44,0)</f>
        <v>0</v>
      </c>
      <c r="G47" s="35" t="s">
        <v>0</v>
      </c>
      <c r="H47" s="75"/>
      <c r="I47" s="75"/>
      <c r="J47" s="96">
        <f>IF(J8&lt;&gt;"Noord",J44,0)</f>
        <v>0</v>
      </c>
      <c r="K47" s="35" t="s">
        <v>0</v>
      </c>
      <c r="L47" s="75"/>
      <c r="M47" s="75"/>
      <c r="N47" s="96">
        <f>IF(N8&lt;&gt;"Noord",N44,0)</f>
        <v>0</v>
      </c>
      <c r="O47" s="35" t="s">
        <v>0</v>
      </c>
      <c r="P47" s="75"/>
      <c r="Q47" s="75"/>
      <c r="R47" s="96">
        <f>R44</f>
        <v>0</v>
      </c>
      <c r="S47" s="35" t="s">
        <v>0</v>
      </c>
      <c r="T47" s="84"/>
      <c r="U47" s="84"/>
    </row>
    <row r="48" spans="1:21" s="195" customFormat="1" ht="12" hidden="1" customHeight="1" x14ac:dyDescent="0.2">
      <c r="A48" s="92" t="s">
        <v>153</v>
      </c>
      <c r="B48" s="97" t="b">
        <f>IF(AND(B45,B47=MAX($B$47:$R$47)),TRUE,FALSE)</f>
        <v>0</v>
      </c>
      <c r="C48" s="35"/>
      <c r="D48" s="75"/>
      <c r="E48" s="35"/>
      <c r="F48" s="97" t="b">
        <f>IF(AND(F45,F47=MAX($B$47:$R$47)),TRUE,FALSE)</f>
        <v>0</v>
      </c>
      <c r="G48" s="75"/>
      <c r="H48" s="75"/>
      <c r="I48" s="75"/>
      <c r="J48" s="97" t="b">
        <f>IF(AND(J45,J47=MAX($B$47:$R$47)),TRUE,FALSE)</f>
        <v>0</v>
      </c>
      <c r="K48" s="75"/>
      <c r="L48" s="75"/>
      <c r="M48" s="75"/>
      <c r="N48" s="97" t="b">
        <f>IF(AND(N45,N47=MAX($B$47:$R$47)),TRUE,FALSE)</f>
        <v>0</v>
      </c>
      <c r="O48" s="75"/>
      <c r="P48" s="75"/>
      <c r="Q48" s="75"/>
      <c r="R48" s="97" t="b">
        <f>IF(AND(R45,R47=MAX($B$47:$R$47)),TRUE,FALSE)</f>
        <v>0</v>
      </c>
      <c r="S48" s="75"/>
      <c r="T48" s="84"/>
      <c r="U48" s="84"/>
    </row>
    <row r="49" spans="1:21" s="195" customFormat="1" ht="12" hidden="1" customHeight="1" x14ac:dyDescent="0.2">
      <c r="A49" s="92" t="s">
        <v>125</v>
      </c>
      <c r="B49" s="98" t="e">
        <f>IF(AND(B11&lt;90,B15&gt;3*(B18+D18),'Projectgegevens en Resultaten'!#REF!&lt;65),TRUE,FALSE)</f>
        <v>#REF!</v>
      </c>
      <c r="C49" s="35"/>
      <c r="D49" s="35"/>
      <c r="E49" s="35"/>
      <c r="F49" s="98" t="e">
        <f>IF(AND(F11&lt;90,F15&gt;3*(F18+H18),'Projectgegevens en Resultaten'!#REF!&lt;65),TRUE,FALSE)</f>
        <v>#REF!</v>
      </c>
      <c r="G49" s="75"/>
      <c r="H49" s="75"/>
      <c r="I49" s="75"/>
      <c r="J49" s="98" t="e">
        <f>IF(AND(J11&lt;90,J15&gt;3*(J18+L18),'Projectgegevens en Resultaten'!#REF!&lt;65),TRUE,FALSE)</f>
        <v>#REF!</v>
      </c>
      <c r="K49" s="75"/>
      <c r="L49" s="75"/>
      <c r="M49" s="75"/>
      <c r="N49" s="98" t="e">
        <f>IF(AND(N11&lt;90,N15&gt;3*(N18+P18),'Projectgegevens en Resultaten'!#REF!&lt;65),TRUE,FALSE)</f>
        <v>#REF!</v>
      </c>
      <c r="O49" s="75"/>
      <c r="P49" s="75"/>
      <c r="Q49" s="75"/>
      <c r="R49" s="98" t="e">
        <f>IF(AND(R11&lt;90,R15&gt;3*(R18+T18),'Projectgegevens en Resultaten'!#REF!&lt;65),TRUE,FALSE)</f>
        <v>#REF!</v>
      </c>
      <c r="S49" s="75"/>
      <c r="T49" s="84"/>
      <c r="U49" s="84"/>
    </row>
    <row r="50" spans="1:21" s="195" customFormat="1" ht="12" hidden="1" customHeight="1" x14ac:dyDescent="0.2">
      <c r="A50" s="92" t="s">
        <v>154</v>
      </c>
      <c r="B50" s="98" t="b">
        <f>IF(COUNTIF($B$49:$R$49,TRUE)&gt;0,TRUE,FALSE)</f>
        <v>0</v>
      </c>
      <c r="C50" s="35"/>
      <c r="D50" s="35"/>
      <c r="E50" s="35"/>
      <c r="F50" s="98" t="b">
        <f>IF(COUNTIF($B$49:$R$49,TRUE)&gt;0,TRUE,FALSE)</f>
        <v>0</v>
      </c>
      <c r="G50" s="75"/>
      <c r="H50" s="75"/>
      <c r="I50" s="75"/>
      <c r="J50" s="98" t="b">
        <f>IF(COUNTIF($B$49:$R$49,TRUE)&gt;0,TRUE,FALSE)</f>
        <v>0</v>
      </c>
      <c r="K50" s="75"/>
      <c r="L50" s="75"/>
      <c r="M50" s="75"/>
      <c r="N50" s="98" t="b">
        <f>IF(COUNTIF($B$49:$R$49,TRUE)&gt;0,TRUE,FALSE)</f>
        <v>0</v>
      </c>
      <c r="O50" s="75"/>
      <c r="P50" s="75"/>
      <c r="Q50" s="75"/>
      <c r="R50" s="98" t="b">
        <f>IF(COUNTIF($B$49:$R$49,TRUE)&gt;0,TRUE,FALSE)</f>
        <v>0</v>
      </c>
      <c r="S50" s="75"/>
      <c r="T50" s="84"/>
      <c r="U50" s="84"/>
    </row>
    <row r="51" spans="1:21" s="195" customFormat="1" ht="12" hidden="1" customHeight="1" x14ac:dyDescent="0.2">
      <c r="A51" s="92" t="s">
        <v>151</v>
      </c>
      <c r="B51" s="99" t="e">
        <f>IF(OR(B46,AND(B45,B50,B49),AND(B45,B48,NOT(B50))),B41)</f>
        <v>#REF!</v>
      </c>
      <c r="C51" s="35"/>
      <c r="D51" s="35"/>
      <c r="E51" s="35"/>
      <c r="F51" s="99" t="e">
        <f>IF(OR(F46,AND(F45,F50,F49),AND(F45,F48,NOT(F50))),F41)</f>
        <v>#REF!</v>
      </c>
      <c r="G51" s="75"/>
      <c r="H51" s="35"/>
      <c r="I51" s="75"/>
      <c r="J51" s="99" t="e">
        <f>IF(OR(J46,AND(J45,J50,J49),AND(J45,J48,NOT(J50))),J41)</f>
        <v>#REF!</v>
      </c>
      <c r="K51" s="75"/>
      <c r="L51" s="35"/>
      <c r="M51" s="75"/>
      <c r="N51" s="99" t="e">
        <f>IF(OR(N46,AND(N45,N50,N49),AND(N45,N48,NOT(N50))),N41)</f>
        <v>#REF!</v>
      </c>
      <c r="O51" s="75"/>
      <c r="P51" s="75"/>
      <c r="Q51" s="75"/>
      <c r="R51" s="99" t="e">
        <f>IF(OR(R46,AND(R45,R50,R49),AND(R45,R48,NOT(R50))),R41)</f>
        <v>#REF!</v>
      </c>
      <c r="S51" s="75"/>
      <c r="T51" s="84"/>
      <c r="U51" s="84"/>
    </row>
    <row r="52" spans="1:21" s="195" customFormat="1" ht="12" customHeight="1" x14ac:dyDescent="0.25">
      <c r="A52" s="39" t="s">
        <v>140</v>
      </c>
      <c r="B52" s="100" t="str">
        <f>IFERROR(B88,"geen glas ingevoerd")</f>
        <v>Geen glas aanwezig</v>
      </c>
      <c r="C52" s="35"/>
      <c r="D52" s="35"/>
      <c r="E52" s="35"/>
      <c r="F52" s="75"/>
      <c r="G52" s="75"/>
      <c r="H52" s="75"/>
      <c r="I52" s="75"/>
      <c r="J52" s="75"/>
      <c r="K52" s="75"/>
      <c r="L52" s="75"/>
      <c r="M52" s="75"/>
      <c r="N52" s="75"/>
      <c r="O52" s="75"/>
      <c r="P52" s="75"/>
      <c r="Q52" s="75"/>
      <c r="R52" s="75"/>
      <c r="S52" s="75"/>
      <c r="T52" s="84"/>
      <c r="U52" s="84"/>
    </row>
    <row r="53" spans="1:21" s="195" customFormat="1" ht="12" customHeight="1" x14ac:dyDescent="0.25">
      <c r="A53" s="66" t="s">
        <v>139</v>
      </c>
      <c r="B53" s="98" t="str">
        <f>IF(MAX(T77:T86)=0,"",_xlfn.XLOOKUP(MAX(T77:T86),T77:T86,$D$77:$D$86,"nvt"))</f>
        <v/>
      </c>
      <c r="C53" s="71" t="s">
        <v>2</v>
      </c>
      <c r="D53" s="35"/>
      <c r="E53" s="35"/>
      <c r="F53" s="75"/>
      <c r="G53" s="75"/>
      <c r="H53" s="75"/>
      <c r="I53" s="75"/>
      <c r="J53" s="75"/>
      <c r="K53" s="75"/>
      <c r="L53" s="75"/>
      <c r="M53" s="75"/>
      <c r="N53" s="75"/>
      <c r="O53" s="75"/>
      <c r="P53" s="75"/>
      <c r="Q53" s="75"/>
      <c r="R53" s="75"/>
      <c r="S53" s="75"/>
      <c r="T53" s="84"/>
      <c r="U53" s="84"/>
    </row>
    <row r="54" spans="1:21" s="195" customFormat="1" ht="12" customHeight="1" x14ac:dyDescent="0.2">
      <c r="A54" s="75"/>
      <c r="B54" s="75"/>
      <c r="C54" s="75"/>
      <c r="D54" s="75"/>
      <c r="E54" s="75"/>
      <c r="F54" s="75"/>
      <c r="G54" s="75"/>
      <c r="H54" s="75"/>
      <c r="I54" s="75"/>
      <c r="J54" s="75"/>
      <c r="K54" s="75"/>
      <c r="L54" s="75"/>
      <c r="M54" s="75"/>
      <c r="N54" s="75"/>
      <c r="O54" s="75"/>
      <c r="P54" s="75"/>
      <c r="Q54" s="75"/>
      <c r="R54" s="75"/>
      <c r="S54" s="75"/>
      <c r="T54" s="84"/>
      <c r="U54" s="84"/>
    </row>
    <row r="55" spans="1:21" s="195" customFormat="1" ht="12" customHeight="1" x14ac:dyDescent="0.25">
      <c r="A55" s="36" t="s">
        <v>260</v>
      </c>
      <c r="B55" s="248">
        <f>IF(B10="Nee",0,B16*'Projectgegevens en Resultaten'!$B$16)</f>
        <v>0</v>
      </c>
      <c r="C55" s="248"/>
      <c r="D55" s="249"/>
      <c r="E55" s="40" t="s">
        <v>11</v>
      </c>
      <c r="F55" s="248">
        <f>IF(F10="Nee",0,F16*'Projectgegevens en Resultaten'!$B$16)</f>
        <v>0</v>
      </c>
      <c r="G55" s="248"/>
      <c r="H55" s="249"/>
      <c r="I55" s="40" t="s">
        <v>11</v>
      </c>
      <c r="J55" s="248">
        <f>IF(J10="Nee",0,J16*'Projectgegevens en Resultaten'!$B$16)</f>
        <v>0</v>
      </c>
      <c r="K55" s="248"/>
      <c r="L55" s="249"/>
      <c r="M55" s="40" t="s">
        <v>11</v>
      </c>
      <c r="N55" s="248">
        <f>IF(N10="Nee",0,N16*'Projectgegevens en Resultaten'!$B$16)</f>
        <v>0</v>
      </c>
      <c r="O55" s="248"/>
      <c r="P55" s="249"/>
      <c r="Q55" s="40" t="s">
        <v>11</v>
      </c>
      <c r="R55" s="248">
        <f>IF(R10="Nee",0,R16*'Projectgegevens en Resultaten'!$B$16)</f>
        <v>0</v>
      </c>
      <c r="S55" s="248"/>
      <c r="T55" s="249"/>
      <c r="U55" s="40" t="s">
        <v>11</v>
      </c>
    </row>
    <row r="56" spans="1:21" s="195" customFormat="1" ht="12" customHeight="1" x14ac:dyDescent="0.25">
      <c r="A56" s="72" t="s">
        <v>142</v>
      </c>
      <c r="B56" s="242">
        <f>(0.75*B18*FLOOR(B20,0.05)*0.9*B35*B38*B39)+(0.75*D18*FLOOR(D20,0.05)*0.9*D35*D38*D39)</f>
        <v>0</v>
      </c>
      <c r="C56" s="242"/>
      <c r="D56" s="243"/>
      <c r="E56" s="40" t="s">
        <v>11</v>
      </c>
      <c r="F56" s="242">
        <f>(0.75*F18*FLOOR(F20,0.05)*0.9*F35*F38*F39)+(0.75*H18*FLOOR(H20,0.05)*0.9*H35*H38*H39)</f>
        <v>0</v>
      </c>
      <c r="G56" s="242"/>
      <c r="H56" s="243"/>
      <c r="I56" s="40" t="s">
        <v>11</v>
      </c>
      <c r="J56" s="242">
        <f>(0.75*J18*FLOOR(J20,0.05)*0.9*J35*J38*J39)+(0.75*L18*FLOOR(L20,0.05)*0.9*L35*L38*L39)</f>
        <v>0</v>
      </c>
      <c r="K56" s="242"/>
      <c r="L56" s="243"/>
      <c r="M56" s="40" t="s">
        <v>11</v>
      </c>
      <c r="N56" s="242">
        <f>(0.75*N18*FLOOR(N20,0.05)*0.9*N35*N38*N39)+(0.75*P18*FLOOR(P20,0.05)*0.9*P35*P38*P39)</f>
        <v>0</v>
      </c>
      <c r="O56" s="242"/>
      <c r="P56" s="243"/>
      <c r="Q56" s="40" t="s">
        <v>11</v>
      </c>
      <c r="R56" s="242">
        <f>(0.75*R18*FLOOR(R20,0.05)*0.9*R35*R38*R39)+(0.75*T18*FLOOR(T20,0.05)*0.9*T35*T38*T39)</f>
        <v>0</v>
      </c>
      <c r="S56" s="242"/>
      <c r="T56" s="243"/>
      <c r="U56" s="40" t="s">
        <v>11</v>
      </c>
    </row>
    <row r="57" spans="1:21" s="195" customFormat="1" ht="12" customHeight="1" x14ac:dyDescent="0.25">
      <c r="A57" s="72" t="s">
        <v>143</v>
      </c>
      <c r="B57" s="248">
        <f>IF(B10="Nee",0,IFERROR(B18*B19*($B$53-24),0)+IFERROR(D18*D19*($B$53-24),0))</f>
        <v>0</v>
      </c>
      <c r="C57" s="248"/>
      <c r="D57" s="249"/>
      <c r="E57" s="40" t="s">
        <v>11</v>
      </c>
      <c r="F57" s="248">
        <f>IF(F10="Nee",0,IFERROR(F18*F19*($B$53-24),0)+IFERROR(H18*H19*($B$53-24),0))</f>
        <v>0</v>
      </c>
      <c r="G57" s="248"/>
      <c r="H57" s="249"/>
      <c r="I57" s="40" t="s">
        <v>11</v>
      </c>
      <c r="J57" s="248">
        <f>IF(J10="Nee",0,IFERROR(J18*J19*($B$53-24),0)+IFERROR(L18*L19*($B$53-24),0))</f>
        <v>0</v>
      </c>
      <c r="K57" s="248"/>
      <c r="L57" s="249"/>
      <c r="M57" s="40" t="s">
        <v>11</v>
      </c>
      <c r="N57" s="248">
        <f>IF(N10="Nee",0,IFERROR(N18*N19*($B$53-24),0)+IFERROR(P18*P19*($B$53-24),0))</f>
        <v>0</v>
      </c>
      <c r="O57" s="248"/>
      <c r="P57" s="249"/>
      <c r="Q57" s="40" t="s">
        <v>11</v>
      </c>
      <c r="R57" s="248">
        <f>IF(R10="Nee",0,IFERROR(R18*R19*($B$53-24),0)+IFERROR(T18*T19*($B$53-24),0))</f>
        <v>0</v>
      </c>
      <c r="S57" s="248"/>
      <c r="T57" s="249"/>
      <c r="U57" s="40" t="s">
        <v>11</v>
      </c>
    </row>
    <row r="58" spans="1:21" s="195" customFormat="1" ht="12" customHeight="1" x14ac:dyDescent="0.2">
      <c r="A58" s="66" t="s">
        <v>100</v>
      </c>
      <c r="B58" s="246">
        <f>SUM(B55:D57)</f>
        <v>0</v>
      </c>
      <c r="C58" s="246"/>
      <c r="D58" s="247"/>
      <c r="E58" s="40" t="s">
        <v>11</v>
      </c>
      <c r="F58" s="246">
        <f>SUM(F55:H57)</f>
        <v>0</v>
      </c>
      <c r="G58" s="246"/>
      <c r="H58" s="247"/>
      <c r="I58" s="41" t="s">
        <v>11</v>
      </c>
      <c r="J58" s="246">
        <f>SUM(J55:L57)</f>
        <v>0</v>
      </c>
      <c r="K58" s="246"/>
      <c r="L58" s="247"/>
      <c r="M58" s="41" t="s">
        <v>11</v>
      </c>
      <c r="N58" s="246">
        <f>SUM(N55:P57)</f>
        <v>0</v>
      </c>
      <c r="O58" s="246"/>
      <c r="P58" s="247"/>
      <c r="Q58" s="41" t="s">
        <v>11</v>
      </c>
      <c r="R58" s="250">
        <f>SUM(R55:R57)</f>
        <v>0</v>
      </c>
      <c r="S58" s="250"/>
      <c r="T58" s="250"/>
      <c r="U58" s="41" t="s">
        <v>11</v>
      </c>
    </row>
    <row r="59" spans="1:21" s="195" customFormat="1" ht="12" customHeight="1" x14ac:dyDescent="0.2">
      <c r="A59" s="75"/>
      <c r="B59" s="76"/>
      <c r="C59" s="76"/>
      <c r="D59" s="76"/>
      <c r="E59" s="75"/>
      <c r="F59" s="75"/>
      <c r="G59" s="75"/>
      <c r="H59" s="75"/>
      <c r="I59" s="75"/>
      <c r="J59" s="75"/>
      <c r="K59" s="75"/>
      <c r="L59" s="75"/>
      <c r="M59" s="75"/>
      <c r="N59" s="75"/>
      <c r="O59" s="75"/>
      <c r="P59" s="75"/>
      <c r="Q59" s="75"/>
      <c r="R59" s="75"/>
      <c r="S59" s="75"/>
      <c r="T59" s="75"/>
      <c r="U59" s="84"/>
    </row>
    <row r="60" spans="1:21" s="195" customFormat="1" ht="12" customHeight="1" x14ac:dyDescent="0.25">
      <c r="A60" s="36" t="s">
        <v>144</v>
      </c>
      <c r="B60" s="242">
        <f>IF(B5=0,0,IF(B4="Woonvertrek",2*'Projectgegevens en Resultaten'!$B$33*B5,'Projectgegevens en Resultaten'!$B$33*B5))</f>
        <v>0</v>
      </c>
      <c r="C60" s="242"/>
      <c r="D60" s="243"/>
      <c r="E60" s="40" t="s">
        <v>11</v>
      </c>
      <c r="F60" s="75"/>
      <c r="G60" s="75"/>
      <c r="H60" s="75"/>
      <c r="I60" s="75"/>
      <c r="J60" s="75"/>
      <c r="K60" s="75"/>
      <c r="L60" s="75"/>
      <c r="M60" s="75"/>
      <c r="N60" s="75"/>
      <c r="O60" s="75"/>
      <c r="P60" s="75"/>
      <c r="Q60" s="75"/>
      <c r="R60" s="65"/>
      <c r="S60" s="35"/>
      <c r="T60" s="75"/>
      <c r="U60" s="84"/>
    </row>
    <row r="61" spans="1:21" s="195" customFormat="1" ht="12" customHeight="1" x14ac:dyDescent="0.25">
      <c r="A61" s="36" t="s">
        <v>145</v>
      </c>
      <c r="B61" s="244">
        <f>IFERROR(MAX((SUM('Projectgegevens en Resultaten'!$B$21:$B$23)/3600*1.205*1005*(B53-24))/SUM('Projectgegevens en Resultaten'!$B$40:$T$40)*B5,0),0)</f>
        <v>0</v>
      </c>
      <c r="C61" s="244">
        <f>IFERROR(MAX(SUM(C57:C59)/3600*1.205*1005*(C60-24),0),0)</f>
        <v>0</v>
      </c>
      <c r="D61" s="245">
        <f>IFERROR(MAX(SUM(D57:D59)/3600*1.205*1005*(D60-24),0),0)</f>
        <v>0</v>
      </c>
      <c r="E61" s="40" t="s">
        <v>11</v>
      </c>
      <c r="F61" s="75"/>
      <c r="G61" s="75"/>
      <c r="H61" s="75"/>
      <c r="I61" s="75"/>
      <c r="J61" s="75"/>
      <c r="K61" s="75"/>
      <c r="L61" s="75"/>
      <c r="M61" s="75"/>
      <c r="N61" s="75"/>
      <c r="O61" s="75"/>
      <c r="P61" s="75"/>
      <c r="Q61" s="75"/>
      <c r="R61" s="65"/>
      <c r="S61" s="35"/>
      <c r="T61" s="75"/>
      <c r="U61" s="84"/>
    </row>
    <row r="62" spans="1:21" s="195" customFormat="1" ht="12" customHeight="1" x14ac:dyDescent="0.2">
      <c r="A62" s="75"/>
      <c r="B62" s="76"/>
      <c r="C62" s="76"/>
      <c r="D62" s="76"/>
      <c r="E62" s="75"/>
      <c r="F62" s="75"/>
      <c r="G62" s="75"/>
      <c r="H62" s="75"/>
      <c r="I62" s="75"/>
      <c r="J62" s="75"/>
      <c r="K62" s="75"/>
      <c r="L62" s="75"/>
      <c r="M62" s="75"/>
      <c r="N62" s="75"/>
      <c r="O62" s="75"/>
      <c r="P62" s="75"/>
      <c r="Q62" s="75"/>
      <c r="R62" s="75"/>
      <c r="S62" s="75"/>
      <c r="T62" s="75"/>
      <c r="U62" s="84"/>
    </row>
    <row r="63" spans="1:21" s="195" customFormat="1" ht="12" customHeight="1" x14ac:dyDescent="0.2">
      <c r="A63" s="72" t="s">
        <v>167</v>
      </c>
      <c r="B63" s="242">
        <f>IFERROR(SUM(B58:T58)+B60+B61,0)</f>
        <v>0</v>
      </c>
      <c r="C63" s="242"/>
      <c r="D63" s="243"/>
      <c r="E63" s="40" t="s">
        <v>11</v>
      </c>
      <c r="F63" s="35"/>
      <c r="G63" s="35"/>
      <c r="H63" s="35"/>
      <c r="I63" s="35"/>
      <c r="J63" s="35"/>
      <c r="K63" s="35"/>
      <c r="L63" s="35"/>
      <c r="M63" s="35"/>
      <c r="N63" s="35"/>
      <c r="O63" s="35"/>
      <c r="P63" s="35"/>
      <c r="Q63" s="35"/>
      <c r="R63" s="35"/>
      <c r="S63" s="35"/>
      <c r="T63" s="75"/>
      <c r="U63" s="84"/>
    </row>
    <row r="64" spans="1:21" s="195" customFormat="1" ht="12" customHeight="1" x14ac:dyDescent="0.2">
      <c r="A64" s="72" t="s">
        <v>99</v>
      </c>
      <c r="B64" s="246">
        <f>IFERROR(B63/B5,0)</f>
        <v>0</v>
      </c>
      <c r="C64" s="246"/>
      <c r="D64" s="247"/>
      <c r="E64" s="40" t="s">
        <v>12</v>
      </c>
      <c r="F64" s="35"/>
      <c r="G64" s="35"/>
      <c r="H64" s="35"/>
      <c r="I64" s="35"/>
      <c r="J64" s="35"/>
      <c r="K64" s="35"/>
      <c r="L64" s="35"/>
      <c r="M64" s="35"/>
      <c r="N64" s="35"/>
      <c r="O64" s="35"/>
      <c r="P64" s="35"/>
      <c r="Q64" s="35"/>
      <c r="R64" s="35"/>
      <c r="S64" s="35"/>
      <c r="T64" s="75"/>
      <c r="U64" s="84"/>
    </row>
    <row r="65" spans="1:21" s="195" customFormat="1" ht="12" customHeight="1" x14ac:dyDescent="0.2">
      <c r="A65" s="75"/>
      <c r="B65" s="75"/>
      <c r="C65" s="75"/>
      <c r="D65" s="75"/>
      <c r="E65" s="75"/>
      <c r="F65" s="75"/>
      <c r="G65" s="75"/>
      <c r="H65" s="75"/>
      <c r="I65" s="75"/>
      <c r="J65" s="75"/>
      <c r="K65" s="75"/>
      <c r="L65" s="75"/>
      <c r="M65" s="75"/>
      <c r="N65" s="75"/>
      <c r="O65" s="75"/>
      <c r="P65" s="75"/>
      <c r="Q65" s="75"/>
      <c r="R65" s="75"/>
      <c r="S65" s="75"/>
      <c r="T65" s="75"/>
      <c r="U65" s="84"/>
    </row>
    <row r="70" spans="1:21" hidden="1" x14ac:dyDescent="0.2"/>
    <row r="71" spans="1:21" ht="15" hidden="1" customHeight="1" x14ac:dyDescent="0.2">
      <c r="A71" s="236" t="s">
        <v>251</v>
      </c>
      <c r="B71" s="236"/>
      <c r="C71" s="236"/>
      <c r="D71" s="236"/>
      <c r="E71" s="236"/>
      <c r="F71" s="236"/>
      <c r="G71" s="236"/>
      <c r="H71" s="236"/>
      <c r="I71" s="236"/>
      <c r="J71" s="236"/>
      <c r="K71" s="236"/>
      <c r="L71" s="236"/>
      <c r="M71" s="236"/>
      <c r="N71" s="236"/>
      <c r="O71" s="236"/>
      <c r="P71" s="236"/>
      <c r="Q71" s="236"/>
      <c r="R71" s="236"/>
      <c r="S71" s="236"/>
      <c r="T71" s="236"/>
      <c r="U71" s="236"/>
    </row>
    <row r="72" spans="1:21" ht="15" hidden="1" customHeight="1" x14ac:dyDescent="0.2">
      <c r="A72" s="236"/>
      <c r="B72" s="236"/>
      <c r="C72" s="236"/>
      <c r="D72" s="236"/>
      <c r="E72" s="236"/>
      <c r="F72" s="236"/>
      <c r="G72" s="236"/>
      <c r="H72" s="236"/>
      <c r="I72" s="236"/>
      <c r="J72" s="236"/>
      <c r="K72" s="236"/>
      <c r="L72" s="236"/>
      <c r="M72" s="236"/>
      <c r="N72" s="236"/>
      <c r="O72" s="236"/>
      <c r="P72" s="236"/>
      <c r="Q72" s="236"/>
      <c r="R72" s="236"/>
      <c r="S72" s="236"/>
      <c r="T72" s="236"/>
      <c r="U72" s="236"/>
    </row>
    <row r="73" spans="1:21" hidden="1" x14ac:dyDescent="0.2">
      <c r="A73" s="196" t="s">
        <v>249</v>
      </c>
      <c r="B73" s="197" cm="1">
        <f t="array" ref="B73">IF(B$10="Nee",0,o_Isol_Max_Orientatie(B8,B11))</f>
        <v>0</v>
      </c>
      <c r="C73" s="198" t="s">
        <v>12</v>
      </c>
      <c r="D73" s="198"/>
      <c r="E73" s="198"/>
      <c r="F73" s="197" cm="1">
        <f t="array" ref="F73">IF(F$10="Nee",0,o_Isol_Max_Orientatie(F8,F11))</f>
        <v>0</v>
      </c>
      <c r="G73" s="198" t="s">
        <v>12</v>
      </c>
      <c r="H73" s="198"/>
      <c r="I73" s="198"/>
      <c r="J73" s="197" cm="1">
        <f t="array" ref="J73">IF(J$10="Nee",0,o_Isol_Max_Orientatie(J8,J11))</f>
        <v>0</v>
      </c>
      <c r="K73" s="198" t="s">
        <v>12</v>
      </c>
      <c r="L73" s="198"/>
      <c r="M73" s="198"/>
      <c r="N73" s="197" cm="1">
        <f t="array" ref="N73">IF(N$10="Nee",0,o_Isol_Max_Orientatie(N8,N11))</f>
        <v>0</v>
      </c>
      <c r="O73" s="198" t="s">
        <v>12</v>
      </c>
      <c r="P73" s="198"/>
      <c r="Q73" s="198"/>
      <c r="R73" s="197" cm="1">
        <f t="array" ref="R73">IF(R$10="Nee",0,o_Isol_Max_Orientatie(R8,R11))</f>
        <v>0</v>
      </c>
      <c r="S73" s="198" t="s">
        <v>12</v>
      </c>
      <c r="T73" s="198"/>
      <c r="U73" s="198"/>
    </row>
    <row r="74" spans="1:21" hidden="1" x14ac:dyDescent="0.2">
      <c r="A74" s="196" t="s">
        <v>250</v>
      </c>
      <c r="B74" s="199" t="e" cm="1">
        <f t="array" ref="B74">VALUE(o_Tijdstip_Isol_Max_Orientatie(B8,B11))</f>
        <v>#VALUE!</v>
      </c>
      <c r="C74" s="198"/>
      <c r="D74" s="198"/>
      <c r="E74" s="198"/>
      <c r="F74" s="200" cm="1">
        <f t="array" ref="F74">VALUE(o_Tijdstip_Isol_Max_Orientatie(F8,F11))</f>
        <v>0.375</v>
      </c>
      <c r="G74" s="198"/>
      <c r="H74" s="198"/>
      <c r="I74" s="198"/>
      <c r="J74" s="200" cm="1">
        <f t="array" ref="J74">VALUE(o_Tijdstip_Isol_Max_Orientatie(J8,J11))</f>
        <v>0.58333333333333337</v>
      </c>
      <c r="K74" s="198"/>
      <c r="L74" s="198"/>
      <c r="M74" s="198"/>
      <c r="N74" s="200" cm="1">
        <f t="array" ref="N74">VALUE(o_Tijdstip_Isol_Max_Orientatie(N8,N11))</f>
        <v>0.625</v>
      </c>
      <c r="O74" s="198"/>
      <c r="P74" s="198"/>
      <c r="Q74" s="198"/>
      <c r="R74" s="200" cm="1">
        <f t="array" ref="R74">VALUE(o_Tijdstip_Isol_Max_Orientatie(R8,R11))</f>
        <v>0.5</v>
      </c>
      <c r="S74" s="198"/>
      <c r="T74" s="198"/>
      <c r="U74" s="198"/>
    </row>
    <row r="75" spans="1:21" hidden="1" x14ac:dyDescent="0.2">
      <c r="A75" s="196"/>
      <c r="B75" s="196"/>
      <c r="C75" s="196"/>
      <c r="D75" s="196"/>
      <c r="E75" s="196"/>
      <c r="F75" s="196"/>
      <c r="G75" s="196"/>
      <c r="H75" s="196"/>
      <c r="I75" s="196"/>
      <c r="J75" s="196"/>
      <c r="K75" s="196"/>
      <c r="L75" s="196"/>
      <c r="M75" s="196"/>
      <c r="N75" s="196"/>
      <c r="O75" s="196"/>
      <c r="P75" s="196"/>
      <c r="Q75" s="196"/>
      <c r="R75" s="196"/>
      <c r="S75" s="196"/>
      <c r="T75" s="196"/>
      <c r="U75" s="196"/>
    </row>
    <row r="76" spans="1:21" ht="13.5" hidden="1" x14ac:dyDescent="0.25">
      <c r="A76" s="196" t="s">
        <v>142</v>
      </c>
      <c r="B76" s="196"/>
      <c r="C76" s="196"/>
      <c r="D76" s="196" t="s">
        <v>284</v>
      </c>
      <c r="E76" s="196"/>
      <c r="F76" s="196"/>
      <c r="G76" s="196"/>
      <c r="H76" s="196"/>
      <c r="I76" s="196"/>
      <c r="J76" s="196"/>
      <c r="K76" s="196"/>
      <c r="L76" s="196"/>
      <c r="M76" s="196"/>
      <c r="N76" s="196"/>
      <c r="O76" s="196"/>
      <c r="P76" s="196"/>
      <c r="Q76" s="196"/>
      <c r="R76" s="196"/>
      <c r="S76" s="196"/>
      <c r="T76" s="196"/>
      <c r="U76" s="196"/>
    </row>
    <row r="77" spans="1:21" hidden="1" x14ac:dyDescent="0.2">
      <c r="A77" s="201">
        <v>0.375</v>
      </c>
      <c r="B77" s="197" cm="1">
        <f t="array" ref="B77">IFERROR((0.75*B$18*FLOOR(B$20,0.05)*0.9*B$35*B$38*o_Isol_Bij_Tijdstip($A77,B$8,B$11))+(0.75*D$18*FLOOR(D$20,0.05)*0.9*D$35*D$38*o_Isol_Bij_Tijdstip($A77,B$8,B$11)),0)</f>
        <v>0</v>
      </c>
      <c r="C77" s="196" t="s">
        <v>11</v>
      </c>
      <c r="D77" s="196">
        <v>24.7</v>
      </c>
      <c r="E77" s="196"/>
      <c r="F77" s="197" cm="1">
        <f t="array" ref="F77">IFERROR((0.75*F$18*FLOOR(F$20,0.05)*0.9*F$35*F$38*o_Isol_Bij_Tijdstip($A77,F$8,F$11))+(0.75*H$18*FLOOR(H$20,0.05)*0.9*H$35*H$38*o_Isol_Bij_Tijdstip($A77,F$8,F$11)),0)</f>
        <v>0</v>
      </c>
      <c r="G77" s="196" t="s">
        <v>11</v>
      </c>
      <c r="H77" s="196"/>
      <c r="I77" s="196"/>
      <c r="J77" s="197" cm="1">
        <f t="array" ref="J77">IFERROR((0.75*J$18*FLOOR(J$20,0.05)*0.9*J$35*J$38*o_Isol_Bij_Tijdstip($A77,J$8,J$11))+(0.75*L$18*FLOOR(L$20,0.05)*0.9*L$35*L$38*o_Isol_Bij_Tijdstip($A77,J$8,J$11)),0)</f>
        <v>0</v>
      </c>
      <c r="K77" s="196" t="s">
        <v>11</v>
      </c>
      <c r="L77" s="196"/>
      <c r="M77" s="196"/>
      <c r="N77" s="197" cm="1">
        <f t="array" ref="N77">IFERROR((0.75*N$18*FLOOR(N$20,0.05)*0.9*N$35*N$38*o_Isol_Bij_Tijdstip($A77,N$8,N$11))+(0.75*P$18*FLOOR(P$20,0.05)*0.9*P$35*P$38*o_Isol_Bij_Tijdstip($A77,N$8,N$11)),0)</f>
        <v>0</v>
      </c>
      <c r="O77" s="196" t="s">
        <v>11</v>
      </c>
      <c r="P77" s="196"/>
      <c r="Q77" s="196"/>
      <c r="R77" s="197" cm="1">
        <f t="array" ref="R77">IFERROR(IF(R$10="Nee",0,(0.75*R$18*FLOOR(R$20,0.05)*0.9*R$35*R$38*o_Isol_Bij_Tijdstip($A77,R$8,R$11))+(0.75*T$18*FLOOR(T$20,0.05)*0.9*T$35*T$38*o_Isol_Bij_Tijdstip($A77,R$8,R$11))),0)</f>
        <v>0</v>
      </c>
      <c r="S77" s="196" t="s">
        <v>11</v>
      </c>
      <c r="T77" s="197">
        <f t="shared" ref="T77:T86" si="0">B77+F77+J77+N77+R77</f>
        <v>0</v>
      </c>
      <c r="U77" s="196" t="s">
        <v>11</v>
      </c>
    </row>
    <row r="78" spans="1:21" hidden="1" x14ac:dyDescent="0.2">
      <c r="A78" s="201">
        <v>0.41666666666666669</v>
      </c>
      <c r="B78" s="197" cm="1">
        <f t="array" ref="B78">IFERROR((0.75*B$18*FLOOR(B$20,0.05)*0.9*B$35*B$38*o_Isol_Bij_Tijdstip($A78,B$8,B$11))+(0.75*D$18*FLOOR(D$20,0.05)*0.9*D$35*D$38*o_Isol_Bij_Tijdstip($A78,B$8,B$11)),0)</f>
        <v>0</v>
      </c>
      <c r="C78" s="196" t="s">
        <v>11</v>
      </c>
      <c r="D78" s="196">
        <v>26.9</v>
      </c>
      <c r="E78" s="196"/>
      <c r="F78" s="197" cm="1">
        <f t="array" ref="F78">IFERROR((0.75*F$18*FLOOR(F$20,0.05)*0.9*F$35*F$38*o_Isol_Bij_Tijdstip($A78,F$8,F$11))+(0.75*H$18*FLOOR(H$20,0.05)*0.9*H$35*H$38*o_Isol_Bij_Tijdstip($A78,F$8,F$11)),0)</f>
        <v>0</v>
      </c>
      <c r="G78" s="196" t="s">
        <v>11</v>
      </c>
      <c r="H78" s="196"/>
      <c r="I78" s="196"/>
      <c r="J78" s="197" cm="1">
        <f t="array" ref="J78">IFERROR((0.75*J$18*FLOOR(J$20,0.05)*0.9*J$35*J$38*o_Isol_Bij_Tijdstip($A78,J$8,J$11))+(0.75*L$18*FLOOR(L$20,0.05)*0.9*L$35*L$38*o_Isol_Bij_Tijdstip($A78,J$8,J$11)),0)</f>
        <v>0</v>
      </c>
      <c r="K78" s="196" t="s">
        <v>11</v>
      </c>
      <c r="L78" s="196"/>
      <c r="M78" s="196"/>
      <c r="N78" s="197" cm="1">
        <f t="array" ref="N78">IFERROR((0.75*N$18*FLOOR(N$20,0.05)*0.9*N$35*N$38*o_Isol_Bij_Tijdstip($A78,N$8,N$11))+(0.75*P$18*FLOOR(P$20,0.05)*0.9*P$35*P$38*o_Isol_Bij_Tijdstip($A78,N$8,N$11)),0)</f>
        <v>0</v>
      </c>
      <c r="O78" s="196" t="s">
        <v>11</v>
      </c>
      <c r="P78" s="196"/>
      <c r="Q78" s="196"/>
      <c r="R78" s="197" cm="1">
        <f t="array" ref="R78">IFERROR(IF(R$10="Nee",0,(0.75*R$18*FLOOR(R$20,0.05)*0.9*R$35*R$38*o_Isol_Bij_Tijdstip($A78,R$8,R$11))+(0.75*T$18*FLOOR(T$20,0.05)*0.9*T$35*T$38*o_Isol_Bij_Tijdstip($A78,R$8,R$11))),0)</f>
        <v>0</v>
      </c>
      <c r="S78" s="196" t="s">
        <v>11</v>
      </c>
      <c r="T78" s="197">
        <f t="shared" si="0"/>
        <v>0</v>
      </c>
      <c r="U78" s="196" t="s">
        <v>11</v>
      </c>
    </row>
    <row r="79" spans="1:21" hidden="1" x14ac:dyDescent="0.2">
      <c r="A79" s="201">
        <v>0.45833333333333331</v>
      </c>
      <c r="B79" s="197" cm="1">
        <f t="array" ref="B79">IFERROR((0.75*B$18*FLOOR(B$20,0.05)*0.9*B$35*B$38*o_Isol_Bij_Tijdstip($A79,B$8,B$11))+(0.75*D$18*FLOOR(D$20,0.05)*0.9*D$35*D$38*o_Isol_Bij_Tijdstip($A79,B$8,B$11)),0)</f>
        <v>0</v>
      </c>
      <c r="C79" s="196" t="s">
        <v>11</v>
      </c>
      <c r="D79" s="196">
        <v>28.2</v>
      </c>
      <c r="E79" s="196"/>
      <c r="F79" s="197" cm="1">
        <f t="array" ref="F79">IFERROR((0.75*F$18*FLOOR(F$20,0.05)*0.9*F$35*F$38*o_Isol_Bij_Tijdstip($A79,F$8,F$11))+(0.75*H$18*FLOOR(H$20,0.05)*0.9*H$35*H$38*o_Isol_Bij_Tijdstip($A79,F$8,F$11)),0)</f>
        <v>0</v>
      </c>
      <c r="G79" s="196" t="s">
        <v>11</v>
      </c>
      <c r="H79" s="196"/>
      <c r="I79" s="196"/>
      <c r="J79" s="197" cm="1">
        <f t="array" ref="J79">IFERROR((0.75*J$18*FLOOR(J$20,0.05)*0.9*J$35*J$38*o_Isol_Bij_Tijdstip($A79,J$8,J$11))+(0.75*L$18*FLOOR(L$20,0.05)*0.9*L$35*L$38*o_Isol_Bij_Tijdstip($A79,J$8,J$11)),0)</f>
        <v>0</v>
      </c>
      <c r="K79" s="196" t="s">
        <v>11</v>
      </c>
      <c r="L79" s="196"/>
      <c r="M79" s="196"/>
      <c r="N79" s="197" cm="1">
        <f t="array" ref="N79">IFERROR((0.75*N$18*FLOOR(N$20,0.05)*0.9*N$35*N$38*o_Isol_Bij_Tijdstip($A79,N$8,N$11))+(0.75*P$18*FLOOR(P$20,0.05)*0.9*P$35*P$38*o_Isol_Bij_Tijdstip($A79,N$8,N$11)),0)</f>
        <v>0</v>
      </c>
      <c r="O79" s="196" t="s">
        <v>11</v>
      </c>
      <c r="P79" s="196"/>
      <c r="Q79" s="196"/>
      <c r="R79" s="197" cm="1">
        <f t="array" ref="R79">IFERROR(IF(R$10="Nee",0,(0.75*R$18*FLOOR(R$20,0.05)*0.9*R$35*R$38*o_Isol_Bij_Tijdstip($A79,R$8,R$11))+(0.75*T$18*FLOOR(T$20,0.05)*0.9*T$35*T$38*o_Isol_Bij_Tijdstip($A79,R$8,R$11))),0)</f>
        <v>0</v>
      </c>
      <c r="S79" s="196" t="s">
        <v>11</v>
      </c>
      <c r="T79" s="197">
        <f t="shared" si="0"/>
        <v>0</v>
      </c>
      <c r="U79" s="196" t="s">
        <v>11</v>
      </c>
    </row>
    <row r="80" spans="1:21" hidden="1" x14ac:dyDescent="0.2">
      <c r="A80" s="201">
        <v>0.5</v>
      </c>
      <c r="B80" s="197" cm="1">
        <f t="array" ref="B80">IFERROR((0.75*B$18*FLOOR(B$20,0.05)*0.9*B$35*B$38*o_Isol_Bij_Tijdstip($A80,B$8,B$11))+(0.75*D$18*FLOOR(D$20,0.05)*0.9*D$35*D$38*o_Isol_Bij_Tijdstip($A80,B$8,B$11)),0)</f>
        <v>0</v>
      </c>
      <c r="C80" s="196" t="s">
        <v>11</v>
      </c>
      <c r="D80" s="196">
        <v>28.9</v>
      </c>
      <c r="E80" s="196"/>
      <c r="F80" s="197" cm="1">
        <f t="array" ref="F80">IFERROR((0.75*F$18*FLOOR(F$20,0.05)*0.9*F$35*F$38*o_Isol_Bij_Tijdstip($A80,F$8,F$11))+(0.75*H$18*FLOOR(H$20,0.05)*0.9*H$35*H$38*o_Isol_Bij_Tijdstip($A80,F$8,F$11)),0)</f>
        <v>0</v>
      </c>
      <c r="G80" s="196" t="s">
        <v>11</v>
      </c>
      <c r="H80" s="196"/>
      <c r="I80" s="196"/>
      <c r="J80" s="197" cm="1">
        <f t="array" ref="J80">IFERROR((0.75*J$18*FLOOR(J$20,0.05)*0.9*J$35*J$38*o_Isol_Bij_Tijdstip($A80,J$8,J$11))+(0.75*L$18*FLOOR(L$20,0.05)*0.9*L$35*L$38*o_Isol_Bij_Tijdstip($A80,J$8,J$11)),0)</f>
        <v>0</v>
      </c>
      <c r="K80" s="196" t="s">
        <v>11</v>
      </c>
      <c r="L80" s="196"/>
      <c r="M80" s="196"/>
      <c r="N80" s="197" cm="1">
        <f t="array" ref="N80">IFERROR((0.75*N$18*FLOOR(N$20,0.05)*0.9*N$35*N$38*o_Isol_Bij_Tijdstip($A80,N$8,N$11))+(0.75*P$18*FLOOR(P$20,0.05)*0.9*P$35*P$38*o_Isol_Bij_Tijdstip($A80,N$8,N$11)),0)</f>
        <v>0</v>
      </c>
      <c r="O80" s="196" t="s">
        <v>11</v>
      </c>
      <c r="P80" s="196"/>
      <c r="Q80" s="196"/>
      <c r="R80" s="197" cm="1">
        <f t="array" ref="R80">IFERROR(IF(R$10="Nee",0,(0.75*R$18*FLOOR(R$20,0.05)*0.9*R$35*R$38*o_Isol_Bij_Tijdstip($A80,R$8,R$11))+(0.75*T$18*FLOOR(T$20,0.05)*0.9*T$35*T$38*o_Isol_Bij_Tijdstip($A80,R$8,R$11))),0)</f>
        <v>0</v>
      </c>
      <c r="S80" s="196" t="s">
        <v>11</v>
      </c>
      <c r="T80" s="197">
        <f t="shared" si="0"/>
        <v>0</v>
      </c>
      <c r="U80" s="196" t="s">
        <v>11</v>
      </c>
    </row>
    <row r="81" spans="1:21" hidden="1" x14ac:dyDescent="0.2">
      <c r="A81" s="201">
        <v>0.54166666666666696</v>
      </c>
      <c r="B81" s="197" cm="1">
        <f t="array" ref="B81">IFERROR((0.75*B$18*FLOOR(B$20,0.05)*0.9*B$35*B$38*o_Isol_Bij_Tijdstip($A81,B$8,B$11))+(0.75*D$18*FLOOR(D$20,0.05)*0.9*D$35*D$38*o_Isol_Bij_Tijdstip($A81,B$8,B$11)),0)</f>
        <v>0</v>
      </c>
      <c r="C81" s="196" t="s">
        <v>11</v>
      </c>
      <c r="D81" s="196">
        <v>29.7</v>
      </c>
      <c r="E81" s="196"/>
      <c r="F81" s="197" cm="1">
        <f t="array" ref="F81">IFERROR((0.75*F$18*FLOOR(F$20,0.05)*0.9*F$35*F$38*o_Isol_Bij_Tijdstip($A81,F$8,F$11))+(0.75*H$18*FLOOR(H$20,0.05)*0.9*H$35*H$38*o_Isol_Bij_Tijdstip($A81,F$8,F$11)),0)</f>
        <v>0</v>
      </c>
      <c r="G81" s="196" t="s">
        <v>11</v>
      </c>
      <c r="H81" s="196"/>
      <c r="I81" s="196"/>
      <c r="J81" s="197" cm="1">
        <f t="array" ref="J81">IFERROR((0.75*J$18*FLOOR(J$20,0.05)*0.9*J$35*J$38*o_Isol_Bij_Tijdstip($A81,J$8,J$11))+(0.75*L$18*FLOOR(L$20,0.05)*0.9*L$35*L$38*o_Isol_Bij_Tijdstip($A81,J$8,J$11)),0)</f>
        <v>0</v>
      </c>
      <c r="K81" s="196" t="s">
        <v>11</v>
      </c>
      <c r="L81" s="196"/>
      <c r="M81" s="196"/>
      <c r="N81" s="197" cm="1">
        <f t="array" ref="N81">IFERROR((0.75*N$18*FLOOR(N$20,0.05)*0.9*N$35*N$38*o_Isol_Bij_Tijdstip($A81,N$8,N$11))+(0.75*P$18*FLOOR(P$20,0.05)*0.9*P$35*P$38*o_Isol_Bij_Tijdstip($A81,N$8,N$11)),0)</f>
        <v>0</v>
      </c>
      <c r="O81" s="196" t="s">
        <v>11</v>
      </c>
      <c r="P81" s="196"/>
      <c r="Q81" s="196"/>
      <c r="R81" s="197" cm="1">
        <f t="array" ref="R81">IFERROR(IF(R$10="Nee",0,(0.75*R$18*FLOOR(R$20,0.05)*0.9*R$35*R$38*o_Isol_Bij_Tijdstip($A81,R$8,R$11))+(0.75*T$18*FLOOR(T$20,0.05)*0.9*T$35*T$38*o_Isol_Bij_Tijdstip($A81,R$8,R$11))),0)</f>
        <v>0</v>
      </c>
      <c r="S81" s="196" t="s">
        <v>11</v>
      </c>
      <c r="T81" s="197">
        <f t="shared" si="0"/>
        <v>0</v>
      </c>
      <c r="U81" s="196" t="s">
        <v>11</v>
      </c>
    </row>
    <row r="82" spans="1:21" hidden="1" x14ac:dyDescent="0.2">
      <c r="A82" s="201">
        <v>0.58333333333333404</v>
      </c>
      <c r="B82" s="197" cm="1">
        <f t="array" ref="B82">IFERROR((0.75*B$18*FLOOR(B$20,0.05)*0.9*B$35*B$38*o_Isol_Bij_Tijdstip($A82,B$8,B$11))+(0.75*D$18*FLOOR(D$20,0.05)*0.9*D$35*D$38*o_Isol_Bij_Tijdstip($A82,B$8,B$11)),0)</f>
        <v>0</v>
      </c>
      <c r="C82" s="196" t="s">
        <v>11</v>
      </c>
      <c r="D82" s="196">
        <v>29.9</v>
      </c>
      <c r="E82" s="196"/>
      <c r="F82" s="197" cm="1">
        <f t="array" ref="F82">IFERROR((0.75*F$18*FLOOR(F$20,0.05)*0.9*F$35*F$38*o_Isol_Bij_Tijdstip($A82,F$8,F$11))+(0.75*H$18*FLOOR(H$20,0.05)*0.9*H$35*H$38*o_Isol_Bij_Tijdstip($A82,F$8,F$11)),0)</f>
        <v>0</v>
      </c>
      <c r="G82" s="196" t="s">
        <v>11</v>
      </c>
      <c r="H82" s="196"/>
      <c r="I82" s="196"/>
      <c r="J82" s="197" cm="1">
        <f t="array" ref="J82">IFERROR((0.75*J$18*FLOOR(J$20,0.05)*0.9*J$35*J$38*o_Isol_Bij_Tijdstip($A82,J$8,J$11))+(0.75*L$18*FLOOR(L$20,0.05)*0.9*L$35*L$38*o_Isol_Bij_Tijdstip($A82,J$8,J$11)),0)</f>
        <v>0</v>
      </c>
      <c r="K82" s="196" t="s">
        <v>11</v>
      </c>
      <c r="L82" s="196"/>
      <c r="M82" s="196"/>
      <c r="N82" s="197" cm="1">
        <f t="array" ref="N82">IFERROR((0.75*N$18*FLOOR(N$20,0.05)*0.9*N$35*N$38*o_Isol_Bij_Tijdstip($A82,N$8,N$11))+(0.75*P$18*FLOOR(P$20,0.05)*0.9*P$35*P$38*o_Isol_Bij_Tijdstip($A82,N$8,N$11)),0)</f>
        <v>0</v>
      </c>
      <c r="O82" s="196" t="s">
        <v>11</v>
      </c>
      <c r="P82" s="196"/>
      <c r="Q82" s="196"/>
      <c r="R82" s="197" cm="1">
        <f t="array" ref="R82">IFERROR(IF(R$10="Nee",0,(0.75*R$18*FLOOR(R$20,0.05)*0.9*R$35*R$38*o_Isol_Bij_Tijdstip($A82,R$8,R$11))+(0.75*T$18*FLOOR(T$20,0.05)*0.9*T$35*T$38*o_Isol_Bij_Tijdstip($A82,R$8,R$11))),0)</f>
        <v>0</v>
      </c>
      <c r="S82" s="196" t="s">
        <v>11</v>
      </c>
      <c r="T82" s="197">
        <f t="shared" si="0"/>
        <v>0</v>
      </c>
      <c r="U82" s="196" t="s">
        <v>11</v>
      </c>
    </row>
    <row r="83" spans="1:21" hidden="1" x14ac:dyDescent="0.2">
      <c r="A83" s="201">
        <v>0.625000000000001</v>
      </c>
      <c r="B83" s="197" cm="1">
        <f t="array" ref="B83">IFERROR((0.75*B$18*FLOOR(B$20,0.05)*0.9*B$35*B$38*o_Isol_Bij_Tijdstip($A83,B$8,B$11))+(0.75*D$18*FLOOR(D$20,0.05)*0.9*D$35*D$38*o_Isol_Bij_Tijdstip($A83,B$8,B$11)),0)</f>
        <v>0</v>
      </c>
      <c r="C83" s="196" t="s">
        <v>11</v>
      </c>
      <c r="D83" s="196">
        <v>29.8</v>
      </c>
      <c r="E83" s="196"/>
      <c r="F83" s="197" cm="1">
        <f t="array" ref="F83">IFERROR((0.75*F$18*FLOOR(F$20,0.05)*0.9*F$35*F$38*o_Isol_Bij_Tijdstip($A83,F$8,F$11))+(0.75*H$18*FLOOR(H$20,0.05)*0.9*H$35*H$38*o_Isol_Bij_Tijdstip($A83,F$8,F$11)),0)</f>
        <v>0</v>
      </c>
      <c r="G83" s="196" t="s">
        <v>11</v>
      </c>
      <c r="H83" s="196"/>
      <c r="I83" s="196"/>
      <c r="J83" s="197" cm="1">
        <f t="array" ref="J83">IFERROR((0.75*J$18*FLOOR(J$20,0.05)*0.9*J$35*J$38*o_Isol_Bij_Tijdstip($A83,J$8,J$11))+(0.75*L$18*FLOOR(L$20,0.05)*0.9*L$35*L$38*o_Isol_Bij_Tijdstip($A83,J$8,J$11)),0)</f>
        <v>0</v>
      </c>
      <c r="K83" s="196" t="s">
        <v>11</v>
      </c>
      <c r="L83" s="196"/>
      <c r="M83" s="196"/>
      <c r="N83" s="197" cm="1">
        <f t="array" ref="N83">IFERROR((0.75*N$18*FLOOR(N$20,0.05)*0.9*N$35*N$38*o_Isol_Bij_Tijdstip($A83,N$8,N$11))+(0.75*P$18*FLOOR(P$20,0.05)*0.9*P$35*P$38*o_Isol_Bij_Tijdstip($A83,N$8,N$11)),0)</f>
        <v>0</v>
      </c>
      <c r="O83" s="196" t="s">
        <v>11</v>
      </c>
      <c r="P83" s="196"/>
      <c r="Q83" s="196"/>
      <c r="R83" s="197" cm="1">
        <f t="array" ref="R83">IFERROR(IF(R$10="Nee",0,(0.75*R$18*FLOOR(R$20,0.05)*0.9*R$35*R$38*o_Isol_Bij_Tijdstip($A83,R$8,R$11))+(0.75*T$18*FLOOR(T$20,0.05)*0.9*T$35*T$38*o_Isol_Bij_Tijdstip($A83,R$8,R$11))),0)</f>
        <v>0</v>
      </c>
      <c r="S83" s="196" t="s">
        <v>11</v>
      </c>
      <c r="T83" s="197">
        <f t="shared" si="0"/>
        <v>0</v>
      </c>
      <c r="U83" s="196" t="s">
        <v>11</v>
      </c>
    </row>
    <row r="84" spans="1:21" hidden="1" x14ac:dyDescent="0.2">
      <c r="A84" s="201">
        <v>0.66666666666666796</v>
      </c>
      <c r="B84" s="197" cm="1">
        <f t="array" ref="B84">IFERROR((0.75*B$18*FLOOR(B$20,0.05)*0.9*B$35*B$38*o_Isol_Bij_Tijdstip($A84,B$8,B$11))+(0.75*D$18*FLOOR(D$20,0.05)*0.9*D$35*D$38*o_Isol_Bij_Tijdstip($A84,B$8,B$11)),0)</f>
        <v>0</v>
      </c>
      <c r="C84" s="196" t="s">
        <v>11</v>
      </c>
      <c r="D84" s="196">
        <v>30.4</v>
      </c>
      <c r="E84" s="196"/>
      <c r="F84" s="197" cm="1">
        <f t="array" ref="F84">IFERROR((0.75*F$18*FLOOR(F$20,0.05)*0.9*F$35*F$38*o_Isol_Bij_Tijdstip($A84,F$8,F$11))+(0.75*H$18*FLOOR(H$20,0.05)*0.9*H$35*H$38*o_Isol_Bij_Tijdstip($A84,F$8,F$11)),0)</f>
        <v>0</v>
      </c>
      <c r="G84" s="196" t="s">
        <v>11</v>
      </c>
      <c r="H84" s="196"/>
      <c r="I84" s="196"/>
      <c r="J84" s="197" cm="1">
        <f t="array" ref="J84">IFERROR((0.75*J$18*FLOOR(J$20,0.05)*0.9*J$35*J$38*o_Isol_Bij_Tijdstip($A84,J$8,J$11))+(0.75*L$18*FLOOR(L$20,0.05)*0.9*L$35*L$38*o_Isol_Bij_Tijdstip($A84,J$8,J$11)),0)</f>
        <v>0</v>
      </c>
      <c r="K84" s="196" t="s">
        <v>11</v>
      </c>
      <c r="L84" s="196"/>
      <c r="M84" s="196"/>
      <c r="N84" s="197" cm="1">
        <f t="array" ref="N84">IFERROR((0.75*N$18*FLOOR(N$20,0.05)*0.9*N$35*N$38*o_Isol_Bij_Tijdstip($A84,N$8,N$11))+(0.75*P$18*FLOOR(P$20,0.05)*0.9*P$35*P$38*o_Isol_Bij_Tijdstip($A84,N$8,N$11)),0)</f>
        <v>0</v>
      </c>
      <c r="O84" s="196" t="s">
        <v>11</v>
      </c>
      <c r="P84" s="196"/>
      <c r="Q84" s="196"/>
      <c r="R84" s="197" cm="1">
        <f t="array" ref="R84">IFERROR(IF(R$10="Nee",0,(0.75*R$18*FLOOR(R$20,0.05)*0.9*R$35*R$38*o_Isol_Bij_Tijdstip($A84,R$8,R$11))+(0.75*T$18*FLOOR(T$20,0.05)*0.9*T$35*T$38*o_Isol_Bij_Tijdstip($A84,R$8,R$11))),0)</f>
        <v>0</v>
      </c>
      <c r="S84" s="196" t="s">
        <v>11</v>
      </c>
      <c r="T84" s="197">
        <f t="shared" si="0"/>
        <v>0</v>
      </c>
      <c r="U84" s="196" t="s">
        <v>11</v>
      </c>
    </row>
    <row r="85" spans="1:21" hidden="1" x14ac:dyDescent="0.2">
      <c r="A85" s="201">
        <v>0.70833333333333504</v>
      </c>
      <c r="B85" s="197" cm="1">
        <f t="array" ref="B85">IFERROR((0.75*B$18*FLOOR(B$20,0.05)*0.9*B$35*B$38*o_Isol_Bij_Tijdstip($A85,B$8,B$11))+(0.75*D$18*FLOOR(D$20,0.05)*0.9*D$35*D$38*o_Isol_Bij_Tijdstip($A85,B$8,B$11)),0)</f>
        <v>0</v>
      </c>
      <c r="C85" s="196" t="s">
        <v>11</v>
      </c>
      <c r="D85" s="196">
        <v>30.6</v>
      </c>
      <c r="E85" s="196"/>
      <c r="F85" s="197" cm="1">
        <f t="array" ref="F85">IFERROR((0.75*F$18*FLOOR(F$20,0.05)*0.9*F$35*F$38*o_Isol_Bij_Tijdstip($A85,F$8,F$11))+(0.75*H$18*FLOOR(H$20,0.05)*0.9*H$35*H$38*o_Isol_Bij_Tijdstip($A85,F$8,F$11)),0)</f>
        <v>0</v>
      </c>
      <c r="G85" s="196" t="s">
        <v>11</v>
      </c>
      <c r="H85" s="196"/>
      <c r="I85" s="196"/>
      <c r="J85" s="197" cm="1">
        <f t="array" ref="J85">IFERROR((0.75*J$18*FLOOR(J$20,0.05)*0.9*J$35*J$38*o_Isol_Bij_Tijdstip($A85,J$8,J$11))+(0.75*L$18*FLOOR(L$20,0.05)*0.9*L$35*L$38*o_Isol_Bij_Tijdstip($A85,J$8,J$11)),0)</f>
        <v>0</v>
      </c>
      <c r="K85" s="196" t="s">
        <v>11</v>
      </c>
      <c r="L85" s="196"/>
      <c r="M85" s="196"/>
      <c r="N85" s="197" cm="1">
        <f t="array" ref="N85">IFERROR((0.75*N$18*FLOOR(N$20,0.05)*0.9*N$35*N$38*o_Isol_Bij_Tijdstip($A85,N$8,N$11))+(0.75*P$18*FLOOR(P$20,0.05)*0.9*P$35*P$38*o_Isol_Bij_Tijdstip($A85,N$8,N$11)),0)</f>
        <v>0</v>
      </c>
      <c r="O85" s="196" t="s">
        <v>11</v>
      </c>
      <c r="P85" s="196"/>
      <c r="Q85" s="196"/>
      <c r="R85" s="197" cm="1">
        <f t="array" ref="R85">IFERROR(IF(R$10="Nee",0,(0.75*R$18*FLOOR(R$20,0.05)*0.9*R$35*R$38*o_Isol_Bij_Tijdstip($A85,R$8,R$11))+(0.75*T$18*FLOOR(T$20,0.05)*0.9*T$35*T$38*o_Isol_Bij_Tijdstip($A85,R$8,R$11))),0)</f>
        <v>0</v>
      </c>
      <c r="S85" s="196" t="s">
        <v>11</v>
      </c>
      <c r="T85" s="197">
        <f t="shared" si="0"/>
        <v>0</v>
      </c>
      <c r="U85" s="196" t="s">
        <v>11</v>
      </c>
    </row>
    <row r="86" spans="1:21" hidden="1" x14ac:dyDescent="0.2">
      <c r="A86" s="201">
        <v>0.750000000000002</v>
      </c>
      <c r="B86" s="197" cm="1">
        <f t="array" ref="B86">IFERROR((0.75*B$18*FLOOR(B$20,0.05)*0.9*B$35*B$38*o_Isol_Bij_Tijdstip($A86,B$8,B$11))+(0.75*D$18*FLOOR(D$20,0.05)*0.9*D$35*D$38*o_Isol_Bij_Tijdstip($A86,B$8,B$11)),0)</f>
        <v>0</v>
      </c>
      <c r="C86" s="196" t="s">
        <v>11</v>
      </c>
      <c r="D86" s="196">
        <v>30.1</v>
      </c>
      <c r="E86" s="196"/>
      <c r="F86" s="197" cm="1">
        <f t="array" ref="F86">IFERROR((0.75*F$18*FLOOR(F$20,0.05)*0.9*F$35*F$38*o_Isol_Bij_Tijdstip($A86,F$8,F$11))+(0.75*H$18*FLOOR(H$20,0.05)*0.9*H$35*H$38*o_Isol_Bij_Tijdstip($A86,F$8,F$11)),0)</f>
        <v>0</v>
      </c>
      <c r="G86" s="196" t="s">
        <v>11</v>
      </c>
      <c r="H86" s="196"/>
      <c r="I86" s="196"/>
      <c r="J86" s="197" cm="1">
        <f t="array" ref="J86">IFERROR((0.75*J$18*FLOOR(J$20,0.05)*0.9*J$35*J$38*o_Isol_Bij_Tijdstip($A86,J$8,J$11))+(0.75*L$18*FLOOR(L$20,0.05)*0.9*L$35*L$38*o_Isol_Bij_Tijdstip($A86,J$8,J$11)),0)</f>
        <v>0</v>
      </c>
      <c r="K86" s="196" t="s">
        <v>11</v>
      </c>
      <c r="L86" s="196"/>
      <c r="M86" s="196"/>
      <c r="N86" s="197" cm="1">
        <f t="array" ref="N86">IFERROR((0.75*N$18*FLOOR(N$20,0.05)*0.9*N$35*N$38*o_Isol_Bij_Tijdstip($A86,N$8,N$11))+(0.75*P$18*FLOOR(P$20,0.05)*0.9*P$35*P$38*o_Isol_Bij_Tijdstip($A86,N$8,N$11)),0)</f>
        <v>0</v>
      </c>
      <c r="O86" s="196" t="s">
        <v>11</v>
      </c>
      <c r="P86" s="196"/>
      <c r="Q86" s="196"/>
      <c r="R86" s="197" cm="1">
        <f t="array" ref="R86">IFERROR(IF(R$10="Nee",0,(0.75*R$18*FLOOR(R$20,0.05)*0.9*R$35*R$38*o_Isol_Bij_Tijdstip($A86,R$8,R$11))+(0.75*T$18*FLOOR(T$20,0.05)*0.9*T$35*T$38*o_Isol_Bij_Tijdstip($A86,R$8,R$11))),0)</f>
        <v>0</v>
      </c>
      <c r="S86" s="196" t="s">
        <v>11</v>
      </c>
      <c r="T86" s="197">
        <f t="shared" si="0"/>
        <v>0</v>
      </c>
      <c r="U86" s="196" t="s">
        <v>11</v>
      </c>
    </row>
    <row r="87" spans="1:21" hidden="1" x14ac:dyDescent="0.2">
      <c r="A87" s="201"/>
      <c r="B87" s="196"/>
      <c r="C87" s="196"/>
      <c r="D87" s="196"/>
      <c r="E87" s="196"/>
      <c r="F87" s="196"/>
      <c r="G87" s="196"/>
      <c r="H87" s="196"/>
      <c r="I87" s="196"/>
      <c r="J87" s="196"/>
      <c r="K87" s="196"/>
      <c r="L87" s="196"/>
      <c r="M87" s="196"/>
      <c r="N87" s="196"/>
      <c r="O87" s="196"/>
      <c r="P87" s="196"/>
      <c r="Q87" s="196"/>
      <c r="R87" s="196"/>
      <c r="S87" s="196"/>
      <c r="T87" s="196"/>
      <c r="U87" s="196"/>
    </row>
    <row r="88" spans="1:21" hidden="1" x14ac:dyDescent="0.2">
      <c r="A88" s="196" t="s">
        <v>151</v>
      </c>
      <c r="B88" s="200" t="str">
        <f>IF(MAX(T77:T86)=0,"Geen glas aanwezig",_xlfn.XLOOKUP(MAX(T77:T86),T77:T86,A77:A86,"nvt"))</f>
        <v>Geen glas aanwezig</v>
      </c>
      <c r="C88" s="196"/>
      <c r="D88" s="196"/>
      <c r="E88" s="196"/>
      <c r="F88" s="196"/>
      <c r="G88" s="196"/>
      <c r="H88" s="196"/>
      <c r="I88" s="196"/>
      <c r="J88" s="196"/>
      <c r="K88" s="196"/>
      <c r="L88" s="196"/>
      <c r="M88" s="196"/>
      <c r="N88" s="196"/>
      <c r="O88" s="196"/>
      <c r="P88" s="196"/>
      <c r="Q88" s="196"/>
      <c r="R88" s="196"/>
      <c r="S88" s="196"/>
      <c r="T88" s="196"/>
      <c r="U88" s="196"/>
    </row>
    <row r="89" spans="1:21" hidden="1" x14ac:dyDescent="0.2"/>
    <row r="90" spans="1:21" hidden="1" x14ac:dyDescent="0.2"/>
    <row r="91" spans="1:21" hidden="1" x14ac:dyDescent="0.2"/>
    <row r="92" spans="1:21" hidden="1" x14ac:dyDescent="0.2"/>
    <row r="93" spans="1:21" hidden="1" x14ac:dyDescent="0.2"/>
    <row r="94" spans="1:21" hidden="1" x14ac:dyDescent="0.2"/>
    <row r="95" spans="1:21" hidden="1" x14ac:dyDescent="0.2"/>
  </sheetData>
  <sheetProtection algorithmName="SHA-512" hashValue="5hkr6JiVSqDSiOcb1AssUYSYNeZLgEbdk2TS0ezkE68sRU6sIEu+kfLJqM/dMbOn8+WwxHYJ/VMzX3FiSNipaw==" saltValue="0hKrx5Weg6UeegAOS64SiA==" spinCount="100000" sheet="1" objects="1" scenarios="1" selectLockedCells="1"/>
  <mergeCells count="41">
    <mergeCell ref="B60:D60"/>
    <mergeCell ref="B61:D61"/>
    <mergeCell ref="B63:D63"/>
    <mergeCell ref="B64:D64"/>
    <mergeCell ref="B57:D57"/>
    <mergeCell ref="F57:H57"/>
    <mergeCell ref="J57:L57"/>
    <mergeCell ref="N57:P57"/>
    <mergeCell ref="R57:T57"/>
    <mergeCell ref="B58:D58"/>
    <mergeCell ref="F58:H58"/>
    <mergeCell ref="J58:L58"/>
    <mergeCell ref="N58:P58"/>
    <mergeCell ref="R58:T58"/>
    <mergeCell ref="R41:T41"/>
    <mergeCell ref="B56:D56"/>
    <mergeCell ref="F56:H56"/>
    <mergeCell ref="J56:L56"/>
    <mergeCell ref="N56:P56"/>
    <mergeCell ref="R56:T56"/>
    <mergeCell ref="B55:D55"/>
    <mergeCell ref="F55:H55"/>
    <mergeCell ref="J55:L55"/>
    <mergeCell ref="N55:P55"/>
    <mergeCell ref="R55:T55"/>
    <mergeCell ref="A71:U72"/>
    <mergeCell ref="A1:U1"/>
    <mergeCell ref="B7:D7"/>
    <mergeCell ref="F7:H7"/>
    <mergeCell ref="J7:L7"/>
    <mergeCell ref="N7:P7"/>
    <mergeCell ref="R7:U7"/>
    <mergeCell ref="B42:D42"/>
    <mergeCell ref="F42:H42"/>
    <mergeCell ref="J42:L42"/>
    <mergeCell ref="N42:P42"/>
    <mergeCell ref="R42:T42"/>
    <mergeCell ref="B41:D41"/>
    <mergeCell ref="F41:H41"/>
    <mergeCell ref="J41:L41"/>
    <mergeCell ref="N41:P41"/>
  </mergeCells>
  <conditionalFormatting sqref="B77:B86">
    <cfRule type="colorScale" priority="6">
      <colorScale>
        <cfvo type="min"/>
        <cfvo type="percentile" val="50"/>
        <cfvo type="max"/>
        <color rgb="FF61D6FF"/>
        <color rgb="FFFFD85D"/>
        <color rgb="FFFF6D6D"/>
      </colorScale>
    </cfRule>
  </conditionalFormatting>
  <conditionalFormatting sqref="T77:T86">
    <cfRule type="colorScale" priority="5">
      <colorScale>
        <cfvo type="min"/>
        <cfvo type="percentile" val="50"/>
        <cfvo type="max"/>
        <color rgb="FF61D6FF"/>
        <color rgb="FFFFD85D"/>
        <color rgb="FFFF6D6D"/>
      </colorScale>
    </cfRule>
  </conditionalFormatting>
  <conditionalFormatting sqref="F77:F86">
    <cfRule type="colorScale" priority="4">
      <colorScale>
        <cfvo type="min"/>
        <cfvo type="percentile" val="50"/>
        <cfvo type="max"/>
        <color rgb="FF61D6FF"/>
        <color rgb="FFFFD85D"/>
        <color rgb="FFFF6D6D"/>
      </colorScale>
    </cfRule>
  </conditionalFormatting>
  <conditionalFormatting sqref="J77:J86">
    <cfRule type="colorScale" priority="3">
      <colorScale>
        <cfvo type="min"/>
        <cfvo type="percentile" val="50"/>
        <cfvo type="max"/>
        <color rgb="FF61D6FF"/>
        <color rgb="FFFFD85D"/>
        <color rgb="FFFF6D6D"/>
      </colorScale>
    </cfRule>
  </conditionalFormatting>
  <conditionalFormatting sqref="N77:N86">
    <cfRule type="colorScale" priority="2">
      <colorScale>
        <cfvo type="min"/>
        <cfvo type="percentile" val="50"/>
        <cfvo type="max"/>
        <color rgb="FF61D6FF"/>
        <color rgb="FFFFD85D"/>
        <color rgb="FFFF6D6D"/>
      </colorScale>
    </cfRule>
  </conditionalFormatting>
  <conditionalFormatting sqref="R77:R86">
    <cfRule type="colorScale" priority="1">
      <colorScale>
        <cfvo type="min"/>
        <cfvo type="percentile" val="50"/>
        <cfvo type="max"/>
        <color rgb="FF61D6FF"/>
        <color rgb="FFFFD85D"/>
        <color rgb="FFFF6D6D"/>
      </colorScale>
    </cfRule>
  </conditionalFormatting>
  <dataValidations count="5">
    <dataValidation type="list" allowBlank="1" showInputMessage="1" showErrorMessage="1" sqref="B10 N10 F10 J10 R10" xr:uid="{93DDB2B4-76BD-4BC1-882F-8EA3A9EAFA75}">
      <formula1>"Nee,Ja"</formula1>
    </dataValidation>
    <dataValidation type="whole" allowBlank="1" showErrorMessage="1" error="Een helling &lt; 15° is en platdak voer deze bij kolom R in. _x000a_90° is de maximale invoerwaarde" sqref="H11 D11 L10:L11 B11 F11 J11 K8:M9 O8:Q10 T11 N11 K10 M10 P11:P12 Q11:Q16 P15:P16" xr:uid="{5983FB37-735C-4CD4-801D-FD8BD3BFFB3E}">
      <formula1>15</formula1>
      <formula2>90</formula2>
    </dataValidation>
    <dataValidation type="whole" allowBlank="1" showErrorMessage="1" error="Een platdak heeft een helling van maximaal 15°, voor daken in bij gevels op de juiste orientatie" sqref="R11" xr:uid="{AC61DF12-121E-443B-8B43-1A7A552D3808}">
      <formula1>0</formula1>
      <formula2>15</formula2>
    </dataValidation>
    <dataValidation type="list" allowBlank="1" showInputMessage="1" showErrorMessage="1" sqref="P30 L30 D30 N30 H30 F30 J30 B30" xr:uid="{51866C02-F698-41E6-8667-97F15D8A41DA}">
      <formula1>"Links,Rechts,Beide zijden"</formula1>
    </dataValidation>
    <dataValidation type="list" allowBlank="1" showInputMessage="1" showErrorMessage="1" sqref="B4" xr:uid="{3BC8A5BB-2C33-4B1B-8CB2-2D894FC015EC}">
      <formula1>"Woonvertrek, Andere verblijfsruimte"</formula1>
    </dataValidation>
  </dataValidations>
  <pageMargins left="0.23622047244094491" right="0.23622047244094491" top="0.74803149606299213" bottom="0.74803149606299213" header="0.31496062992125984" footer="0.31496062992125984"/>
  <pageSetup paperSize="9" scale="48" orientation="landscape" r:id="rId1"/>
  <headerFooter alignWithMargins="0">
    <oddHeader>&amp;CREKENTOOL VEREENVOUDIGDE BEPALINGSMETHODE KOELBEHOEFTE (BIJLAGE AA - VERSIE 2025 -NTA 8800)&amp;Rversie 2025.04 d.d. 09-04-2025</oddHeader>
    <oddFooter>&amp;LPrint datum:&amp;D &amp;T_x000D_&amp;1#&amp;"Calibri"&amp;10&amp;K000000 Intern gebruik&amp;C&amp;F&amp;R&amp;P van &amp;N</oddFooter>
  </headerFooter>
  <drawing r:id="rId2"/>
  <legacyDrawing r:id="rId3"/>
  <controls>
    <mc:AlternateContent xmlns:mc="http://schemas.openxmlformats.org/markup-compatibility/2006">
      <mc:Choice Requires="x14">
        <control shapeId="16399" r:id="rId4" name="CommandButton1">
          <controlPr defaultSize="0" autoLine="0" r:id="rId5">
            <anchor moveWithCells="1">
              <from>
                <xdr:col>3</xdr:col>
                <xdr:colOff>209550</xdr:colOff>
                <xdr:row>1</xdr:row>
                <xdr:rowOff>133350</xdr:rowOff>
              </from>
              <to>
                <xdr:col>5</xdr:col>
                <xdr:colOff>38100</xdr:colOff>
                <xdr:row>4</xdr:row>
                <xdr:rowOff>9525</xdr:rowOff>
              </to>
            </anchor>
          </controlPr>
        </control>
      </mc:Choice>
      <mc:Fallback>
        <control shapeId="16399" r:id="rId4" name="CommandButton1"/>
      </mc:Fallback>
    </mc:AlternateContent>
  </controls>
  <extLst>
    <ext xmlns:x14="http://schemas.microsoft.com/office/spreadsheetml/2009/9/main" uri="{CCE6A557-97BC-4b89-ADB6-D9C93CAAB3DF}">
      <x14:dataValidations xmlns:xm="http://schemas.microsoft.com/office/excel/2006/main" count="5">
        <x14:dataValidation type="list" allowBlank="1" showInputMessage="1" showErrorMessage="1" xr:uid="{C1DAC9C4-4B68-451B-9206-B2A8670CCD18}">
          <x14:formula1>
            <xm:f>Tabellen!$A$85:$A$99</xm:f>
          </x14:formula1>
          <xm:sqref>P37 N37 D37 B37 H37 L37 F37 J37</xm:sqref>
        </x14:dataValidation>
        <x14:dataValidation type="list" allowBlank="1" showInputMessage="1" showErrorMessage="1" xr:uid="{30DB4C5D-F6C5-4335-9295-729867558297}">
          <x14:formula1>
            <xm:f>Tabellen!$A$111:$A$113</xm:f>
          </x14:formula1>
          <xm:sqref>R21 T21</xm:sqref>
        </x14:dataValidation>
        <x14:dataValidation type="list" allowBlank="1" showInputMessage="1" showErrorMessage="1" xr:uid="{C67E72FD-3B7E-4E9E-80E7-4580EF15B8EE}">
          <x14:formula1>
            <xm:f>Tabellen!$A$103:$A$108</xm:f>
          </x14:formula1>
          <xm:sqref>L21 H21 B21 D21 N21 F21 P21 J21</xm:sqref>
        </x14:dataValidation>
        <x14:dataValidation type="list" allowBlank="1" showInputMessage="1" showErrorMessage="1" xr:uid="{794791A7-4104-4A88-9EC9-ADD90E950A95}">
          <x14:formula1>
            <xm:f>Tabellen!$A$42:$A$49</xm:f>
          </x14:formula1>
          <xm:sqref>F8 J8 N8</xm:sqref>
        </x14:dataValidation>
        <x14:dataValidation type="list" allowBlank="1" showInputMessage="1" showErrorMessage="1" xr:uid="{FF838FAA-6F2C-4554-BE8A-7388EF8BCA1E}">
          <x14:formula1>
            <xm:f>Tabellen!$A$85:$A$97</xm:f>
          </x14:formula1>
          <xm:sqref>R37 T37</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87B66-60E3-4126-A3FE-4ADCA9EC812B}">
  <sheetPr codeName="Blad17">
    <pageSetUpPr fitToPage="1"/>
  </sheetPr>
  <dimension ref="A1:U95"/>
  <sheetViews>
    <sheetView showGridLines="0" zoomScale="90" zoomScaleNormal="90" workbookViewId="0">
      <selection activeCell="B3" sqref="B3"/>
    </sheetView>
  </sheetViews>
  <sheetFormatPr defaultColWidth="9.140625" defaultRowHeight="12" x14ac:dyDescent="0.2"/>
  <cols>
    <col min="1" max="1" width="49.7109375" style="202" bestFit="1" customWidth="1"/>
    <col min="2" max="2" width="18.28515625" style="202" customWidth="1"/>
    <col min="3" max="3" width="6.28515625" style="202" bestFit="1" customWidth="1"/>
    <col min="4" max="4" width="18.28515625" style="202" customWidth="1"/>
    <col min="5" max="5" width="6.28515625" style="202" bestFit="1" customWidth="1"/>
    <col min="6" max="6" width="18.28515625" style="202" customWidth="1"/>
    <col min="7" max="7" width="6.28515625" style="202" bestFit="1" customWidth="1"/>
    <col min="8" max="8" width="18.28515625" style="202" customWidth="1"/>
    <col min="9" max="9" width="6.28515625" style="202" bestFit="1" customWidth="1"/>
    <col min="10" max="10" width="18.28515625" style="202" customWidth="1"/>
    <col min="11" max="11" width="6.28515625" style="202" bestFit="1" customWidth="1"/>
    <col min="12" max="12" width="18.28515625" style="202" customWidth="1"/>
    <col min="13" max="13" width="6.28515625" style="202" bestFit="1" customWidth="1"/>
    <col min="14" max="14" width="18.28515625" style="202" customWidth="1"/>
    <col min="15" max="15" width="6.28515625" style="202" bestFit="1" customWidth="1"/>
    <col min="16" max="16" width="18.28515625" style="202" customWidth="1"/>
    <col min="17" max="17" width="6.28515625" style="202" bestFit="1" customWidth="1"/>
    <col min="18" max="18" width="18.28515625" style="202" customWidth="1"/>
    <col min="19" max="19" width="6.28515625" style="202" bestFit="1" customWidth="1"/>
    <col min="20" max="20" width="18.28515625" style="194" customWidth="1"/>
    <col min="21" max="21" width="6.7109375" style="194" bestFit="1" customWidth="1"/>
    <col min="22" max="16384" width="9.140625" style="194"/>
  </cols>
  <sheetData>
    <row r="1" spans="1:21" s="192" customFormat="1" ht="24" customHeight="1" x14ac:dyDescent="0.2">
      <c r="A1" s="251" t="s">
        <v>206</v>
      </c>
      <c r="B1" s="251"/>
      <c r="C1" s="251"/>
      <c r="D1" s="251"/>
      <c r="E1" s="251"/>
      <c r="F1" s="251"/>
      <c r="G1" s="251"/>
      <c r="H1" s="251"/>
      <c r="I1" s="251"/>
      <c r="J1" s="251"/>
      <c r="K1" s="251"/>
      <c r="L1" s="251"/>
      <c r="M1" s="251"/>
      <c r="N1" s="251"/>
      <c r="O1" s="251"/>
      <c r="P1" s="251"/>
      <c r="Q1" s="251"/>
      <c r="R1" s="251"/>
      <c r="S1" s="251"/>
      <c r="T1" s="251"/>
      <c r="U1" s="251"/>
    </row>
    <row r="2" spans="1:21" s="193" customFormat="1" ht="12" customHeight="1" x14ac:dyDescent="0.2">
      <c r="A2" s="65"/>
      <c r="B2" s="75"/>
      <c r="C2" s="75"/>
      <c r="D2" s="75"/>
      <c r="E2" s="75"/>
      <c r="F2" s="75"/>
      <c r="G2" s="75"/>
      <c r="H2" s="75"/>
      <c r="I2" s="75"/>
      <c r="J2" s="75"/>
      <c r="K2" s="75"/>
      <c r="L2" s="75"/>
      <c r="M2" s="75"/>
      <c r="N2" s="75"/>
      <c r="O2" s="75"/>
      <c r="P2" s="75"/>
      <c r="Q2" s="75"/>
      <c r="R2" s="35"/>
      <c r="S2" s="35"/>
      <c r="T2" s="35"/>
      <c r="U2" s="35"/>
    </row>
    <row r="3" spans="1:21" ht="12" customHeight="1" x14ac:dyDescent="0.2">
      <c r="A3" s="36" t="s">
        <v>107</v>
      </c>
      <c r="B3" s="221"/>
      <c r="C3" s="75"/>
      <c r="D3" s="75"/>
      <c r="E3" s="75"/>
      <c r="F3" s="35"/>
      <c r="G3" s="75"/>
      <c r="H3" s="75"/>
      <c r="I3" s="75"/>
      <c r="J3" s="75"/>
      <c r="K3" s="75"/>
      <c r="L3" s="75"/>
      <c r="M3" s="75"/>
      <c r="N3" s="75"/>
      <c r="O3" s="75"/>
      <c r="P3" s="75"/>
      <c r="Q3" s="75"/>
      <c r="R3" s="35"/>
      <c r="S3" s="35"/>
      <c r="T3" s="35"/>
      <c r="U3" s="35"/>
    </row>
    <row r="4" spans="1:21" ht="12" customHeight="1" x14ac:dyDescent="0.2">
      <c r="A4" s="36" t="s">
        <v>191</v>
      </c>
      <c r="B4" s="33" t="s">
        <v>195</v>
      </c>
      <c r="C4" s="75"/>
      <c r="D4" s="75"/>
      <c r="E4" s="75"/>
      <c r="F4" s="35"/>
      <c r="G4" s="75"/>
      <c r="H4" s="75"/>
      <c r="I4" s="75"/>
      <c r="J4" s="75"/>
      <c r="K4" s="75"/>
      <c r="L4" s="75"/>
      <c r="M4" s="75"/>
      <c r="N4" s="75"/>
      <c r="O4" s="75"/>
      <c r="P4" s="75"/>
      <c r="Q4" s="75"/>
      <c r="R4" s="35"/>
      <c r="S4" s="35"/>
      <c r="T4" s="35"/>
      <c r="U4" s="35"/>
    </row>
    <row r="5" spans="1:21" ht="12" customHeight="1" x14ac:dyDescent="0.25">
      <c r="A5" s="39" t="s">
        <v>180</v>
      </c>
      <c r="B5" s="34">
        <v>0</v>
      </c>
      <c r="C5" s="36" t="s">
        <v>0</v>
      </c>
      <c r="D5" s="75"/>
      <c r="E5" s="75"/>
      <c r="F5" s="35"/>
      <c r="G5" s="75"/>
      <c r="H5" s="75"/>
      <c r="I5" s="75"/>
      <c r="J5" s="75"/>
      <c r="K5" s="75"/>
      <c r="L5" s="75"/>
      <c r="M5" s="75"/>
      <c r="N5" s="75"/>
      <c r="O5" s="75"/>
      <c r="P5" s="75"/>
      <c r="Q5" s="75"/>
      <c r="R5" s="35"/>
      <c r="S5" s="35"/>
      <c r="T5" s="35"/>
      <c r="U5" s="35"/>
    </row>
    <row r="6" spans="1:21" s="195" customFormat="1" ht="12" customHeight="1" x14ac:dyDescent="0.2">
      <c r="A6" s="75"/>
      <c r="B6" s="75"/>
      <c r="C6" s="75"/>
      <c r="D6" s="75"/>
      <c r="E6" s="75"/>
      <c r="F6" s="75"/>
      <c r="G6" s="75"/>
      <c r="H6" s="75"/>
      <c r="I6" s="75"/>
      <c r="J6" s="75"/>
      <c r="K6" s="75"/>
      <c r="L6" s="75"/>
      <c r="M6" s="75"/>
      <c r="N6" s="75"/>
      <c r="O6" s="75"/>
      <c r="P6" s="75"/>
      <c r="Q6" s="75"/>
      <c r="R6" s="75"/>
      <c r="S6" s="35"/>
      <c r="T6" s="35"/>
      <c r="U6" s="35"/>
    </row>
    <row r="7" spans="1:21" s="193" customFormat="1" ht="12" customHeight="1" x14ac:dyDescent="0.2">
      <c r="A7" s="65"/>
      <c r="B7" s="237" t="s">
        <v>181</v>
      </c>
      <c r="C7" s="237"/>
      <c r="D7" s="237"/>
      <c r="E7" s="76"/>
      <c r="F7" s="238" t="s">
        <v>182</v>
      </c>
      <c r="G7" s="237"/>
      <c r="H7" s="237"/>
      <c r="I7" s="76"/>
      <c r="J7" s="237" t="s">
        <v>183</v>
      </c>
      <c r="K7" s="237"/>
      <c r="L7" s="237"/>
      <c r="M7" s="76"/>
      <c r="N7" s="237" t="s">
        <v>184</v>
      </c>
      <c r="O7" s="237"/>
      <c r="P7" s="237"/>
      <c r="Q7" s="76"/>
      <c r="R7" s="238" t="s">
        <v>5</v>
      </c>
      <c r="S7" s="238"/>
      <c r="T7" s="238"/>
      <c r="U7" s="238"/>
    </row>
    <row r="8" spans="1:21" s="195" customFormat="1" ht="12" customHeight="1" x14ac:dyDescent="0.2">
      <c r="A8" s="72" t="s">
        <v>129</v>
      </c>
      <c r="B8" s="77">
        <f>'Projectgegevens en Resultaten'!$B$17</f>
        <v>0</v>
      </c>
      <c r="C8" s="183"/>
      <c r="D8" s="183"/>
      <c r="E8" s="183"/>
      <c r="F8" s="184" t="str">
        <f>o_Orientatie(F9)</f>
        <v>Oost</v>
      </c>
      <c r="G8" s="183"/>
      <c r="H8" s="183"/>
      <c r="I8" s="183"/>
      <c r="J8" s="184" t="str">
        <f>o_Orientatie(J9)</f>
        <v>Zuid</v>
      </c>
      <c r="K8" s="185"/>
      <c r="L8" s="185"/>
      <c r="M8" s="185"/>
      <c r="N8" s="184" t="str">
        <f>o_Orientatie(N9)</f>
        <v>West</v>
      </c>
      <c r="O8" s="185"/>
      <c r="P8" s="185"/>
      <c r="Q8" s="185"/>
      <c r="R8" s="186" t="s">
        <v>62</v>
      </c>
      <c r="S8" s="79"/>
      <c r="T8" s="78"/>
      <c r="U8" s="78"/>
    </row>
    <row r="9" spans="1:21" ht="12" hidden="1" customHeight="1" x14ac:dyDescent="0.2">
      <c r="A9" s="70" t="s">
        <v>132</v>
      </c>
      <c r="B9" s="80" cm="1">
        <f t="array" ref="B9">o_OrientatiehOEK(B8)</f>
        <v>0</v>
      </c>
      <c r="C9" s="187"/>
      <c r="D9" s="187"/>
      <c r="E9" s="187"/>
      <c r="F9" s="80">
        <f>IF(B9+90&gt;360,B9+90-360,B9+90)</f>
        <v>90</v>
      </c>
      <c r="G9" s="188"/>
      <c r="H9" s="188"/>
      <c r="I9" s="188"/>
      <c r="J9" s="80">
        <f>IF(F9+90&gt;360,F9+90-360,F9+90)</f>
        <v>180</v>
      </c>
      <c r="K9" s="185"/>
      <c r="L9" s="185"/>
      <c r="M9" s="185"/>
      <c r="N9" s="80">
        <f>IF(J9+90&gt;360,J9+90-360,J9+90)</f>
        <v>270</v>
      </c>
      <c r="O9" s="185"/>
      <c r="P9" s="185"/>
      <c r="Q9" s="185"/>
      <c r="R9" s="188"/>
      <c r="S9" s="79"/>
      <c r="T9" s="104"/>
      <c r="U9" s="104"/>
    </row>
    <row r="10" spans="1:21" s="195" customFormat="1" x14ac:dyDescent="0.2">
      <c r="A10" s="70" t="s">
        <v>102</v>
      </c>
      <c r="B10" s="44" t="s">
        <v>101</v>
      </c>
      <c r="C10" s="187"/>
      <c r="D10" s="187"/>
      <c r="E10" s="187"/>
      <c r="F10" s="44" t="s">
        <v>101</v>
      </c>
      <c r="G10" s="187"/>
      <c r="H10" s="187"/>
      <c r="I10" s="187"/>
      <c r="J10" s="44" t="s">
        <v>101</v>
      </c>
      <c r="K10" s="189"/>
      <c r="L10" s="189"/>
      <c r="M10" s="189"/>
      <c r="N10" s="44" t="s">
        <v>101</v>
      </c>
      <c r="O10" s="189"/>
      <c r="P10" s="189"/>
      <c r="Q10" s="189"/>
      <c r="R10" s="44" t="s">
        <v>101</v>
      </c>
      <c r="S10" s="82"/>
      <c r="T10" s="81"/>
      <c r="U10" s="81"/>
    </row>
    <row r="11" spans="1:21" s="195" customFormat="1" ht="12" customHeight="1" x14ac:dyDescent="0.2">
      <c r="A11" s="70" t="s">
        <v>133</v>
      </c>
      <c r="B11" s="210">
        <v>90</v>
      </c>
      <c r="C11" s="214" t="s">
        <v>103</v>
      </c>
      <c r="D11" s="210"/>
      <c r="E11" s="219"/>
      <c r="F11" s="210">
        <v>90</v>
      </c>
      <c r="G11" s="214" t="s">
        <v>103</v>
      </c>
      <c r="H11" s="210"/>
      <c r="I11" s="214"/>
      <c r="J11" s="210">
        <v>90</v>
      </c>
      <c r="K11" s="214" t="s">
        <v>103</v>
      </c>
      <c r="L11" s="210"/>
      <c r="M11" s="214"/>
      <c r="N11" s="210">
        <v>90</v>
      </c>
      <c r="O11" s="214" t="s">
        <v>103</v>
      </c>
      <c r="P11" s="210"/>
      <c r="Q11" s="210"/>
      <c r="R11" s="211">
        <v>0</v>
      </c>
      <c r="S11" s="214" t="s">
        <v>103</v>
      </c>
      <c r="T11" s="210"/>
      <c r="U11" s="214"/>
    </row>
    <row r="12" spans="1:21" s="195" customFormat="1" ht="12" customHeight="1" x14ac:dyDescent="0.2">
      <c r="A12" s="70" t="s">
        <v>130</v>
      </c>
      <c r="B12" s="211" t="str" cm="1">
        <f t="array" ref="B12">o_TypeConstructie(B10,B11)</f>
        <v>Woningscheidend</v>
      </c>
      <c r="C12" s="211"/>
      <c r="D12" s="211"/>
      <c r="E12" s="209"/>
      <c r="F12" s="211" t="str" cm="1">
        <f t="array" ref="F12">o_TypeConstructie(F10,F11)</f>
        <v>Woningscheidend</v>
      </c>
      <c r="G12" s="209"/>
      <c r="H12" s="211"/>
      <c r="I12" s="209"/>
      <c r="J12" s="211" t="str" cm="1">
        <f t="array" ref="J12">o_TypeConstructie(J10,J11)</f>
        <v>Woningscheidend</v>
      </c>
      <c r="K12" s="209"/>
      <c r="L12" s="211"/>
      <c r="M12" s="209"/>
      <c r="N12" s="211" t="str" cm="1">
        <f t="array" ref="N12">o_TypeConstructie(N10,N11)</f>
        <v>Woningscheidend</v>
      </c>
      <c r="O12" s="209"/>
      <c r="P12" s="211"/>
      <c r="Q12" s="211"/>
      <c r="R12" s="211" t="str" cm="1">
        <f t="array" ref="R12">o_TypeConstructie(R10,R11)</f>
        <v>Woningscheidend</v>
      </c>
      <c r="S12" s="207"/>
      <c r="T12" s="210"/>
      <c r="U12" s="214"/>
    </row>
    <row r="13" spans="1:21" s="195" customFormat="1" ht="12" customHeight="1" x14ac:dyDescent="0.2">
      <c r="A13" s="70" t="s">
        <v>127</v>
      </c>
      <c r="B13" s="207"/>
      <c r="C13" s="207" t="s">
        <v>1</v>
      </c>
      <c r="D13" s="207"/>
      <c r="E13" s="208"/>
      <c r="F13" s="207"/>
      <c r="G13" s="207" t="s">
        <v>1</v>
      </c>
      <c r="H13" s="207"/>
      <c r="I13" s="208"/>
      <c r="J13" s="207"/>
      <c r="K13" s="207" t="s">
        <v>1</v>
      </c>
      <c r="L13" s="207"/>
      <c r="M13" s="208"/>
      <c r="N13" s="207"/>
      <c r="O13" s="207" t="s">
        <v>1</v>
      </c>
      <c r="P13" s="207"/>
      <c r="Q13" s="208"/>
      <c r="R13" s="207"/>
      <c r="S13" s="207" t="s">
        <v>1</v>
      </c>
      <c r="T13" s="208"/>
      <c r="U13" s="208"/>
    </row>
    <row r="14" spans="1:21" s="195" customFormat="1" ht="12" customHeight="1" x14ac:dyDescent="0.2">
      <c r="A14" s="83" t="s">
        <v>128</v>
      </c>
      <c r="B14" s="207"/>
      <c r="C14" s="207" t="s">
        <v>1</v>
      </c>
      <c r="D14" s="207"/>
      <c r="E14" s="208"/>
      <c r="F14" s="207"/>
      <c r="G14" s="207" t="s">
        <v>1</v>
      </c>
      <c r="H14" s="207"/>
      <c r="I14" s="208"/>
      <c r="J14" s="207"/>
      <c r="K14" s="207" t="s">
        <v>1</v>
      </c>
      <c r="L14" s="207"/>
      <c r="M14" s="208"/>
      <c r="N14" s="207"/>
      <c r="O14" s="207" t="s">
        <v>1</v>
      </c>
      <c r="P14" s="207"/>
      <c r="Q14" s="208"/>
      <c r="R14" s="207"/>
      <c r="S14" s="207" t="s">
        <v>1</v>
      </c>
      <c r="T14" s="208"/>
      <c r="U14" s="208"/>
    </row>
    <row r="15" spans="1:21" s="195" customFormat="1" ht="12" customHeight="1" x14ac:dyDescent="0.2">
      <c r="A15" s="36" t="s">
        <v>104</v>
      </c>
      <c r="B15" s="208">
        <f>B13*B14</f>
        <v>0</v>
      </c>
      <c r="C15" s="208" t="s">
        <v>0</v>
      </c>
      <c r="D15" s="208"/>
      <c r="E15" s="208"/>
      <c r="F15" s="208">
        <f>F13*F14</f>
        <v>0</v>
      </c>
      <c r="G15" s="208" t="s">
        <v>0</v>
      </c>
      <c r="H15" s="208"/>
      <c r="I15" s="208"/>
      <c r="J15" s="208">
        <f>J13*J14</f>
        <v>0</v>
      </c>
      <c r="K15" s="208" t="s">
        <v>0</v>
      </c>
      <c r="L15" s="208"/>
      <c r="M15" s="208"/>
      <c r="N15" s="208">
        <f>N13*N14</f>
        <v>0</v>
      </c>
      <c r="O15" s="208" t="s">
        <v>0</v>
      </c>
      <c r="P15" s="208"/>
      <c r="Q15" s="208"/>
      <c r="R15" s="208">
        <f>R13*R14</f>
        <v>0</v>
      </c>
      <c r="S15" s="207" t="s">
        <v>0</v>
      </c>
      <c r="T15" s="208"/>
      <c r="U15" s="208"/>
    </row>
    <row r="16" spans="1:21" s="195" customFormat="1" ht="12" customHeight="1" x14ac:dyDescent="0.2">
      <c r="A16" s="36" t="s">
        <v>105</v>
      </c>
      <c r="B16" s="208">
        <f>MAX(0,B15-B18-D18)</f>
        <v>0</v>
      </c>
      <c r="C16" s="208" t="s">
        <v>0</v>
      </c>
      <c r="D16" s="208"/>
      <c r="E16" s="208"/>
      <c r="F16" s="208">
        <f>MAX(0,F15-F18-H18)</f>
        <v>0</v>
      </c>
      <c r="G16" s="208" t="s">
        <v>0</v>
      </c>
      <c r="H16" s="208"/>
      <c r="I16" s="208"/>
      <c r="J16" s="208">
        <f>MAX(0,J15-J18-L18)</f>
        <v>0</v>
      </c>
      <c r="K16" s="208" t="s">
        <v>0</v>
      </c>
      <c r="L16" s="208"/>
      <c r="M16" s="208"/>
      <c r="N16" s="208">
        <f>MAX(0,N15-N18-P18)</f>
        <v>0</v>
      </c>
      <c r="O16" s="208" t="s">
        <v>0</v>
      </c>
      <c r="P16" s="210"/>
      <c r="Q16" s="210"/>
      <c r="R16" s="208">
        <f>MAX(0,R15-R18-T18)</f>
        <v>0</v>
      </c>
      <c r="S16" s="207" t="s">
        <v>0</v>
      </c>
      <c r="T16" s="208"/>
      <c r="U16" s="208"/>
    </row>
    <row r="17" spans="1:21" s="195" customFormat="1" ht="12" customHeight="1" x14ac:dyDescent="0.2">
      <c r="A17" s="75"/>
      <c r="B17" s="215" t="s">
        <v>123</v>
      </c>
      <c r="C17" s="84"/>
      <c r="D17" s="215" t="s">
        <v>124</v>
      </c>
      <c r="E17" s="84"/>
      <c r="F17" s="215" t="s">
        <v>123</v>
      </c>
      <c r="G17" s="84"/>
      <c r="H17" s="215" t="s">
        <v>124</v>
      </c>
      <c r="I17" s="84"/>
      <c r="J17" s="215" t="s">
        <v>123</v>
      </c>
      <c r="K17" s="84"/>
      <c r="L17" s="215" t="s">
        <v>124</v>
      </c>
      <c r="M17" s="84"/>
      <c r="N17" s="215" t="s">
        <v>123</v>
      </c>
      <c r="O17" s="84"/>
      <c r="P17" s="215" t="s">
        <v>124</v>
      </c>
      <c r="Q17" s="84"/>
      <c r="R17" s="215" t="s">
        <v>123</v>
      </c>
      <c r="S17" s="84"/>
      <c r="T17" s="215" t="s">
        <v>124</v>
      </c>
      <c r="U17" s="84"/>
    </row>
    <row r="18" spans="1:21" s="195" customFormat="1" ht="12" customHeight="1" x14ac:dyDescent="0.25">
      <c r="A18" s="36" t="s">
        <v>218</v>
      </c>
      <c r="B18" s="209"/>
      <c r="C18" s="208" t="s">
        <v>0</v>
      </c>
      <c r="D18" s="210"/>
      <c r="E18" s="208" t="s">
        <v>0</v>
      </c>
      <c r="F18" s="210"/>
      <c r="G18" s="208" t="s">
        <v>0</v>
      </c>
      <c r="H18" s="210"/>
      <c r="I18" s="208" t="s">
        <v>0</v>
      </c>
      <c r="J18" s="210"/>
      <c r="K18" s="208" t="s">
        <v>0</v>
      </c>
      <c r="L18" s="210"/>
      <c r="M18" s="208" t="s">
        <v>0</v>
      </c>
      <c r="N18" s="210"/>
      <c r="O18" s="208" t="s">
        <v>0</v>
      </c>
      <c r="P18" s="210"/>
      <c r="Q18" s="208" t="s">
        <v>0</v>
      </c>
      <c r="R18" s="210"/>
      <c r="S18" s="208" t="s">
        <v>0</v>
      </c>
      <c r="T18" s="210"/>
      <c r="U18" s="208" t="s">
        <v>0</v>
      </c>
    </row>
    <row r="19" spans="1:21" s="195" customFormat="1" ht="12" customHeight="1" x14ac:dyDescent="0.25">
      <c r="A19" s="36" t="s">
        <v>134</v>
      </c>
      <c r="B19" s="209"/>
      <c r="C19" s="208" t="s">
        <v>98</v>
      </c>
      <c r="D19" s="210"/>
      <c r="E19" s="208" t="s">
        <v>98</v>
      </c>
      <c r="F19" s="210"/>
      <c r="G19" s="208" t="s">
        <v>98</v>
      </c>
      <c r="H19" s="210"/>
      <c r="I19" s="208" t="s">
        <v>98</v>
      </c>
      <c r="J19" s="210"/>
      <c r="K19" s="208" t="s">
        <v>98</v>
      </c>
      <c r="L19" s="210"/>
      <c r="M19" s="208" t="s">
        <v>98</v>
      </c>
      <c r="N19" s="210"/>
      <c r="O19" s="208" t="s">
        <v>98</v>
      </c>
      <c r="P19" s="210"/>
      <c r="Q19" s="208" t="s">
        <v>98</v>
      </c>
      <c r="R19" s="210"/>
      <c r="S19" s="208" t="s">
        <v>98</v>
      </c>
      <c r="T19" s="210"/>
      <c r="U19" s="208" t="s">
        <v>98</v>
      </c>
    </row>
    <row r="20" spans="1:21" s="195" customFormat="1" ht="12" customHeight="1" x14ac:dyDescent="0.2">
      <c r="A20" s="66" t="s">
        <v>221</v>
      </c>
      <c r="B20" s="209">
        <v>1</v>
      </c>
      <c r="C20" s="208"/>
      <c r="D20" s="210">
        <v>1</v>
      </c>
      <c r="E20" s="208"/>
      <c r="F20" s="210">
        <v>1</v>
      </c>
      <c r="G20" s="208"/>
      <c r="H20" s="210">
        <v>1</v>
      </c>
      <c r="I20" s="208"/>
      <c r="J20" s="210">
        <v>1</v>
      </c>
      <c r="K20" s="208"/>
      <c r="L20" s="210">
        <v>1</v>
      </c>
      <c r="M20" s="208"/>
      <c r="N20" s="210">
        <v>1</v>
      </c>
      <c r="O20" s="207"/>
      <c r="P20" s="210">
        <v>1</v>
      </c>
      <c r="Q20" s="208"/>
      <c r="R20" s="210">
        <v>1</v>
      </c>
      <c r="S20" s="207"/>
      <c r="T20" s="210">
        <v>1</v>
      </c>
      <c r="U20" s="208"/>
    </row>
    <row r="21" spans="1:21" s="195" customFormat="1" ht="12" customHeight="1" x14ac:dyDescent="0.2">
      <c r="A21" s="67" t="s">
        <v>219</v>
      </c>
      <c r="B21" s="220" t="s">
        <v>111</v>
      </c>
      <c r="C21" s="212"/>
      <c r="D21" s="220" t="s">
        <v>111</v>
      </c>
      <c r="E21" s="212"/>
      <c r="F21" s="220" t="s">
        <v>111</v>
      </c>
      <c r="G21" s="212"/>
      <c r="H21" s="220" t="s">
        <v>111</v>
      </c>
      <c r="I21" s="212"/>
      <c r="J21" s="220" t="s">
        <v>111</v>
      </c>
      <c r="K21" s="212"/>
      <c r="L21" s="220" t="s">
        <v>111</v>
      </c>
      <c r="M21" s="212"/>
      <c r="N21" s="220" t="s">
        <v>111</v>
      </c>
      <c r="O21" s="213"/>
      <c r="P21" s="220" t="s">
        <v>111</v>
      </c>
      <c r="Q21" s="212"/>
      <c r="R21" s="220" t="s">
        <v>111</v>
      </c>
      <c r="S21" s="213"/>
      <c r="T21" s="220" t="s">
        <v>111</v>
      </c>
      <c r="U21" s="208"/>
    </row>
    <row r="22" spans="1:21" s="195" customFormat="1" ht="68.25" customHeight="1" x14ac:dyDescent="0.2">
      <c r="A22" s="85"/>
      <c r="B22" s="208"/>
      <c r="C22" s="208"/>
      <c r="D22" s="208"/>
      <c r="E22" s="208"/>
      <c r="F22" s="208"/>
      <c r="G22" s="208"/>
      <c r="H22" s="208"/>
      <c r="I22" s="208"/>
      <c r="J22" s="208"/>
      <c r="K22" s="208"/>
      <c r="L22" s="208"/>
      <c r="M22" s="208"/>
      <c r="N22" s="208"/>
      <c r="O22" s="208"/>
      <c r="P22" s="208"/>
      <c r="Q22" s="208"/>
      <c r="R22" s="208"/>
      <c r="S22" s="207"/>
      <c r="T22" s="208"/>
      <c r="U22" s="208"/>
    </row>
    <row r="23" spans="1:21" s="195" customFormat="1" x14ac:dyDescent="0.2">
      <c r="A23" s="85"/>
      <c r="B23" s="215" t="s">
        <v>166</v>
      </c>
      <c r="C23" s="208"/>
      <c r="D23" s="215" t="s">
        <v>166</v>
      </c>
      <c r="E23" s="208"/>
      <c r="F23" s="215" t="s">
        <v>166</v>
      </c>
      <c r="G23" s="208"/>
      <c r="H23" s="215" t="s">
        <v>166</v>
      </c>
      <c r="I23" s="208"/>
      <c r="J23" s="215" t="s">
        <v>166</v>
      </c>
      <c r="K23" s="208"/>
      <c r="L23" s="215" t="s">
        <v>166</v>
      </c>
      <c r="M23" s="208"/>
      <c r="N23" s="215" t="s">
        <v>166</v>
      </c>
      <c r="O23" s="208"/>
      <c r="P23" s="215" t="s">
        <v>166</v>
      </c>
      <c r="Q23" s="208"/>
      <c r="R23" s="215"/>
      <c r="S23" s="208"/>
      <c r="T23" s="215"/>
      <c r="U23" s="208"/>
    </row>
    <row r="24" spans="1:21" s="195" customFormat="1" ht="12" customHeight="1" x14ac:dyDescent="0.2">
      <c r="A24" s="86" t="s">
        <v>120</v>
      </c>
      <c r="B24" s="216">
        <v>0</v>
      </c>
      <c r="C24" s="87" t="s">
        <v>1</v>
      </c>
      <c r="D24" s="216">
        <v>0</v>
      </c>
      <c r="E24" s="87" t="s">
        <v>1</v>
      </c>
      <c r="F24" s="216">
        <v>0</v>
      </c>
      <c r="G24" s="87" t="s">
        <v>1</v>
      </c>
      <c r="H24" s="216">
        <v>0</v>
      </c>
      <c r="I24" s="87" t="s">
        <v>1</v>
      </c>
      <c r="J24" s="216">
        <v>0</v>
      </c>
      <c r="K24" s="87" t="s">
        <v>1</v>
      </c>
      <c r="L24" s="216">
        <v>0</v>
      </c>
      <c r="M24" s="87" t="s">
        <v>1</v>
      </c>
      <c r="N24" s="216">
        <v>0</v>
      </c>
      <c r="O24" s="87" t="s">
        <v>1</v>
      </c>
      <c r="P24" s="216">
        <v>0</v>
      </c>
      <c r="Q24" s="87" t="s">
        <v>1</v>
      </c>
      <c r="R24" s="216">
        <v>0</v>
      </c>
      <c r="S24" s="87"/>
      <c r="T24" s="216">
        <v>0</v>
      </c>
      <c r="U24" s="87" t="s">
        <v>1</v>
      </c>
    </row>
    <row r="25" spans="1:21" s="195" customFormat="1" ht="12" customHeight="1" x14ac:dyDescent="0.2">
      <c r="A25" s="88" t="s">
        <v>121</v>
      </c>
      <c r="B25" s="216">
        <v>0</v>
      </c>
      <c r="C25" s="87" t="s">
        <v>1</v>
      </c>
      <c r="D25" s="216">
        <v>0</v>
      </c>
      <c r="E25" s="87" t="s">
        <v>1</v>
      </c>
      <c r="F25" s="216">
        <v>0</v>
      </c>
      <c r="G25" s="87" t="s">
        <v>1</v>
      </c>
      <c r="H25" s="216">
        <v>0</v>
      </c>
      <c r="I25" s="87" t="s">
        <v>1</v>
      </c>
      <c r="J25" s="216">
        <v>0</v>
      </c>
      <c r="K25" s="87" t="s">
        <v>1</v>
      </c>
      <c r="L25" s="216">
        <v>0</v>
      </c>
      <c r="M25" s="87" t="s">
        <v>1</v>
      </c>
      <c r="N25" s="216">
        <v>0</v>
      </c>
      <c r="O25" s="87" t="s">
        <v>1</v>
      </c>
      <c r="P25" s="216">
        <v>0</v>
      </c>
      <c r="Q25" s="87" t="s">
        <v>1</v>
      </c>
      <c r="R25" s="216">
        <v>0</v>
      </c>
      <c r="S25" s="87"/>
      <c r="T25" s="216">
        <v>0</v>
      </c>
      <c r="U25" s="87" t="s">
        <v>1</v>
      </c>
    </row>
    <row r="26" spans="1:21" s="195" customFormat="1" ht="12" customHeight="1" x14ac:dyDescent="0.2">
      <c r="A26" s="89" t="s">
        <v>163</v>
      </c>
      <c r="B26" s="217">
        <f>IFERROR(180/PI()*ATAN(B24/B25),0)</f>
        <v>0</v>
      </c>
      <c r="C26" s="90" t="s">
        <v>103</v>
      </c>
      <c r="D26" s="217">
        <f>IFERROR(180/PI()*ATAN(D24/D25),0)</f>
        <v>0</v>
      </c>
      <c r="E26" s="90" t="s">
        <v>103</v>
      </c>
      <c r="F26" s="217">
        <f>IFERROR(180/PI()*ATAN(F24/F25),0)</f>
        <v>0</v>
      </c>
      <c r="G26" s="90" t="s">
        <v>103</v>
      </c>
      <c r="H26" s="217">
        <f>IFERROR(180/PI()*ATAN(H24/H25),0)</f>
        <v>0</v>
      </c>
      <c r="I26" s="90" t="s">
        <v>103</v>
      </c>
      <c r="J26" s="217">
        <f>IFERROR(180/PI()*ATAN(J24/J25),0)</f>
        <v>0</v>
      </c>
      <c r="K26" s="90" t="s">
        <v>103</v>
      </c>
      <c r="L26" s="217">
        <f>IFERROR(180/PI()*ATAN(L24/L25),0)</f>
        <v>0</v>
      </c>
      <c r="M26" s="90" t="s">
        <v>103</v>
      </c>
      <c r="N26" s="217">
        <f>IFERROR(180/PI()*ATAN(N24/N25),0)</f>
        <v>0</v>
      </c>
      <c r="O26" s="90" t="s">
        <v>103</v>
      </c>
      <c r="P26" s="217">
        <f>IFERROR(180/PI()*ATAN(P24/P25),0)</f>
        <v>0</v>
      </c>
      <c r="Q26" s="90" t="s">
        <v>103</v>
      </c>
      <c r="R26" s="217"/>
      <c r="S26" s="90"/>
      <c r="T26" s="217"/>
      <c r="U26" s="90" t="s">
        <v>103</v>
      </c>
    </row>
    <row r="27" spans="1:21" s="195" customFormat="1" ht="12" customHeight="1" x14ac:dyDescent="0.2">
      <c r="A27" s="89" t="s">
        <v>119</v>
      </c>
      <c r="B27" s="216">
        <f>IFERROR(B24/B25,1)</f>
        <v>1</v>
      </c>
      <c r="C27" s="87"/>
      <c r="D27" s="216">
        <f>IFERROR(D24/D25,1)</f>
        <v>1</v>
      </c>
      <c r="E27" s="87"/>
      <c r="F27" s="216">
        <f>IFERROR(F24/F25,1)</f>
        <v>1</v>
      </c>
      <c r="G27" s="87"/>
      <c r="H27" s="216">
        <f>IFERROR(H24/H25,1)</f>
        <v>1</v>
      </c>
      <c r="I27" s="87"/>
      <c r="J27" s="216">
        <f>IFERROR(J24/J25,1)</f>
        <v>1</v>
      </c>
      <c r="K27" s="87"/>
      <c r="L27" s="216">
        <f>IFERROR(L24/L25,1)</f>
        <v>1</v>
      </c>
      <c r="M27" s="87"/>
      <c r="N27" s="216">
        <f>IFERROR(N24/N25,1)</f>
        <v>1</v>
      </c>
      <c r="O27" s="87"/>
      <c r="P27" s="216">
        <f>IFERROR(P24/P25,1)</f>
        <v>1</v>
      </c>
      <c r="Q27" s="87"/>
      <c r="R27" s="216"/>
      <c r="S27" s="87"/>
      <c r="T27" s="216"/>
      <c r="U27" s="87"/>
    </row>
    <row r="28" spans="1:21" s="195" customFormat="1" ht="101.25" customHeight="1" x14ac:dyDescent="0.2">
      <c r="A28" s="91"/>
      <c r="B28" s="208"/>
      <c r="C28" s="208"/>
      <c r="D28" s="208"/>
      <c r="E28" s="208"/>
      <c r="F28" s="208"/>
      <c r="G28" s="208"/>
      <c r="H28" s="208"/>
      <c r="I28" s="208"/>
      <c r="J28" s="208"/>
      <c r="K28" s="208"/>
      <c r="L28" s="208"/>
      <c r="M28" s="208"/>
      <c r="N28" s="208"/>
      <c r="O28" s="208"/>
      <c r="P28" s="208"/>
      <c r="Q28" s="208"/>
      <c r="R28" s="215"/>
      <c r="S28" s="215"/>
      <c r="T28" s="215"/>
      <c r="U28" s="208"/>
    </row>
    <row r="29" spans="1:21" s="195" customFormat="1" x14ac:dyDescent="0.2">
      <c r="A29" s="91"/>
      <c r="B29" s="215" t="s">
        <v>113</v>
      </c>
      <c r="C29" s="208"/>
      <c r="D29" s="215" t="s">
        <v>113</v>
      </c>
      <c r="E29" s="208"/>
      <c r="F29" s="215" t="s">
        <v>113</v>
      </c>
      <c r="G29" s="208"/>
      <c r="H29" s="215" t="s">
        <v>113</v>
      </c>
      <c r="I29" s="208"/>
      <c r="J29" s="215" t="s">
        <v>113</v>
      </c>
      <c r="K29" s="208"/>
      <c r="L29" s="215" t="s">
        <v>113</v>
      </c>
      <c r="M29" s="208"/>
      <c r="N29" s="215" t="s">
        <v>113</v>
      </c>
      <c r="O29" s="208"/>
      <c r="P29" s="215" t="s">
        <v>113</v>
      </c>
      <c r="Q29" s="208"/>
      <c r="R29" s="215"/>
      <c r="S29" s="215"/>
      <c r="T29" s="215"/>
      <c r="U29" s="208"/>
    </row>
    <row r="30" spans="1:21" s="195" customFormat="1" ht="12" customHeight="1" x14ac:dyDescent="0.2">
      <c r="A30" s="89" t="s">
        <v>158</v>
      </c>
      <c r="B30" s="216" t="s">
        <v>252</v>
      </c>
      <c r="C30" s="87"/>
      <c r="D30" s="216" t="s">
        <v>252</v>
      </c>
      <c r="E30" s="87"/>
      <c r="F30" s="216" t="s">
        <v>252</v>
      </c>
      <c r="G30" s="87"/>
      <c r="H30" s="216" t="s">
        <v>252</v>
      </c>
      <c r="I30" s="87"/>
      <c r="J30" s="216" t="s">
        <v>252</v>
      </c>
      <c r="K30" s="87"/>
      <c r="L30" s="216" t="s">
        <v>252</v>
      </c>
      <c r="M30" s="87"/>
      <c r="N30" s="216" t="s">
        <v>252</v>
      </c>
      <c r="O30" s="87"/>
      <c r="P30" s="216" t="s">
        <v>252</v>
      </c>
      <c r="Q30" s="87"/>
      <c r="R30" s="215" t="s">
        <v>252</v>
      </c>
      <c r="S30" s="215"/>
      <c r="T30" s="215" t="s">
        <v>252</v>
      </c>
      <c r="U30" s="87"/>
    </row>
    <row r="31" spans="1:21" s="195" customFormat="1" ht="12" customHeight="1" x14ac:dyDescent="0.2">
      <c r="A31" s="89" t="s">
        <v>155</v>
      </c>
      <c r="B31" s="216">
        <v>0</v>
      </c>
      <c r="C31" s="87" t="s">
        <v>1</v>
      </c>
      <c r="D31" s="216">
        <v>0</v>
      </c>
      <c r="E31" s="87" t="s">
        <v>1</v>
      </c>
      <c r="F31" s="216">
        <v>0</v>
      </c>
      <c r="G31" s="87" t="s">
        <v>1</v>
      </c>
      <c r="H31" s="216">
        <v>0</v>
      </c>
      <c r="I31" s="87" t="s">
        <v>1</v>
      </c>
      <c r="J31" s="216">
        <v>0</v>
      </c>
      <c r="K31" s="87" t="s">
        <v>1</v>
      </c>
      <c r="L31" s="216">
        <v>0</v>
      </c>
      <c r="M31" s="87" t="s">
        <v>1</v>
      </c>
      <c r="N31" s="216">
        <v>0</v>
      </c>
      <c r="O31" s="87" t="s">
        <v>1</v>
      </c>
      <c r="P31" s="216">
        <v>0</v>
      </c>
      <c r="Q31" s="87" t="s">
        <v>1</v>
      </c>
      <c r="R31" s="215">
        <v>0</v>
      </c>
      <c r="S31" s="215"/>
      <c r="T31" s="215">
        <v>0</v>
      </c>
      <c r="U31" s="87" t="s">
        <v>1</v>
      </c>
    </row>
    <row r="32" spans="1:21" s="195" customFormat="1" ht="12" customHeight="1" x14ac:dyDescent="0.2">
      <c r="A32" s="89" t="s">
        <v>156</v>
      </c>
      <c r="B32" s="216">
        <v>0</v>
      </c>
      <c r="C32" s="90" t="s">
        <v>1</v>
      </c>
      <c r="D32" s="216">
        <v>0</v>
      </c>
      <c r="E32" s="90" t="s">
        <v>1</v>
      </c>
      <c r="F32" s="216">
        <v>0</v>
      </c>
      <c r="G32" s="90" t="s">
        <v>1</v>
      </c>
      <c r="H32" s="216">
        <v>0</v>
      </c>
      <c r="I32" s="90" t="s">
        <v>1</v>
      </c>
      <c r="J32" s="216">
        <v>0</v>
      </c>
      <c r="K32" s="90" t="s">
        <v>1</v>
      </c>
      <c r="L32" s="216">
        <v>0</v>
      </c>
      <c r="M32" s="90" t="s">
        <v>1</v>
      </c>
      <c r="N32" s="216">
        <v>0</v>
      </c>
      <c r="O32" s="90" t="s">
        <v>1</v>
      </c>
      <c r="P32" s="216">
        <v>0</v>
      </c>
      <c r="Q32" s="90" t="s">
        <v>1</v>
      </c>
      <c r="R32" s="215">
        <v>0</v>
      </c>
      <c r="S32" s="215"/>
      <c r="T32" s="215">
        <v>0</v>
      </c>
      <c r="U32" s="87" t="s">
        <v>1</v>
      </c>
    </row>
    <row r="33" spans="1:21" s="195" customFormat="1" ht="12" customHeight="1" x14ac:dyDescent="0.25">
      <c r="A33" s="89" t="s">
        <v>157</v>
      </c>
      <c r="B33" s="216">
        <f>IFERROR(B31/B32,999)</f>
        <v>999</v>
      </c>
      <c r="C33" s="87"/>
      <c r="D33" s="216">
        <f>IFERROR(D31/D32,999)</f>
        <v>999</v>
      </c>
      <c r="E33" s="87"/>
      <c r="F33" s="216">
        <f>IFERROR(F31/F32,999)</f>
        <v>999</v>
      </c>
      <c r="G33" s="87"/>
      <c r="H33" s="216">
        <f>IFERROR(H31/H32,999)</f>
        <v>999</v>
      </c>
      <c r="I33" s="87"/>
      <c r="J33" s="216">
        <f>IFERROR(J31/J32,999)</f>
        <v>999</v>
      </c>
      <c r="K33" s="87"/>
      <c r="L33" s="216">
        <f>IFERROR(L31/L32,999)</f>
        <v>999</v>
      </c>
      <c r="M33" s="87"/>
      <c r="N33" s="216">
        <f>IFERROR(N31/N32,999)</f>
        <v>999</v>
      </c>
      <c r="O33" s="87"/>
      <c r="P33" s="216">
        <f>IFERROR(P31/P32,999)</f>
        <v>999</v>
      </c>
      <c r="Q33" s="87"/>
      <c r="R33" s="215"/>
      <c r="S33" s="215"/>
      <c r="T33" s="215"/>
      <c r="U33" s="87"/>
    </row>
    <row r="34" spans="1:21" s="195" customFormat="1" x14ac:dyDescent="0.2">
      <c r="A34" s="75"/>
      <c r="B34" s="84"/>
      <c r="C34" s="84"/>
      <c r="D34" s="84"/>
      <c r="E34" s="84"/>
      <c r="F34" s="84"/>
      <c r="G34" s="84"/>
      <c r="H34" s="84"/>
      <c r="I34" s="84"/>
      <c r="J34" s="84"/>
      <c r="K34" s="84"/>
      <c r="L34" s="84"/>
      <c r="M34" s="84"/>
      <c r="N34" s="84"/>
      <c r="O34" s="84"/>
      <c r="P34" s="84"/>
      <c r="Q34" s="84"/>
      <c r="R34" s="84"/>
      <c r="S34" s="84"/>
      <c r="T34" s="84"/>
      <c r="U34" s="84"/>
    </row>
    <row r="35" spans="1:21" s="195" customFormat="1" ht="12" customHeight="1" x14ac:dyDescent="0.25">
      <c r="A35" s="36" t="s">
        <v>135</v>
      </c>
      <c r="B35" s="216" cm="1">
        <f t="array" ref="B35">IFERROR(o_Beschaduwingreductie(B21,B8,B27,B30,B33,B11),1)</f>
        <v>1</v>
      </c>
      <c r="C35" s="208"/>
      <c r="D35" s="216" cm="1">
        <f t="array" ref="D35">IFERROR(o_Beschaduwingreductie(D21,B8,D27,D30,D33,B11),1)</f>
        <v>1</v>
      </c>
      <c r="E35" s="208"/>
      <c r="F35" s="216" cm="1">
        <f t="array" ref="F35">IFERROR(o_Beschaduwingreductie(F21,F8,F27,F30,F33,F11),1)</f>
        <v>1</v>
      </c>
      <c r="G35" s="208"/>
      <c r="H35" s="216" cm="1">
        <f t="array" ref="H35">IFERROR(o_Beschaduwingreductie(H21,F8,H27,H30,H33,F11),1)</f>
        <v>1</v>
      </c>
      <c r="I35" s="208"/>
      <c r="J35" s="216" cm="1">
        <f t="array" ref="J35">IFERROR(o_Beschaduwingreductie(J21,J8,J27,J30,J33,J11),1)</f>
        <v>1</v>
      </c>
      <c r="K35" s="208"/>
      <c r="L35" s="216" cm="1">
        <f t="array" ref="L35">IFERROR(o_Beschaduwingreductie(L21,J8,L27,L30,L33,J11),1)</f>
        <v>1</v>
      </c>
      <c r="M35" s="208"/>
      <c r="N35" s="216" cm="1">
        <f t="array" ref="N35">IFERROR(o_Beschaduwingreductie(N21,N8,N27,N30,N33,N11),1)</f>
        <v>1</v>
      </c>
      <c r="O35" s="208"/>
      <c r="P35" s="216" cm="1">
        <f t="array" ref="P35">IFERROR(o_Beschaduwingreductie(P21,N8,P27,P30,P33,N11),1)</f>
        <v>1</v>
      </c>
      <c r="Q35" s="208"/>
      <c r="R35" s="159" cm="1">
        <f t="array" ref="R35">o_Beschaduwingreductie(R21,R8,R27,R30,R33,R11)</f>
        <v>1</v>
      </c>
      <c r="S35" s="207"/>
      <c r="T35" s="216" cm="1">
        <f t="array" ref="T35">o_Beschaduwingreductie(T21,R8,T27,T30,T33,R11)</f>
        <v>1</v>
      </c>
      <c r="U35" s="208"/>
    </row>
    <row r="36" spans="1:21" s="195" customFormat="1" x14ac:dyDescent="0.2">
      <c r="A36" s="75"/>
      <c r="B36" s="84"/>
      <c r="C36" s="84"/>
      <c r="D36" s="84"/>
      <c r="E36" s="84"/>
      <c r="F36" s="84"/>
      <c r="G36" s="84"/>
      <c r="H36" s="84"/>
      <c r="I36" s="84"/>
      <c r="J36" s="84"/>
      <c r="K36" s="84"/>
      <c r="L36" s="84"/>
      <c r="M36" s="84"/>
      <c r="N36" s="84"/>
      <c r="O36" s="84"/>
      <c r="P36" s="84"/>
      <c r="Q36" s="84"/>
      <c r="R36" s="84"/>
      <c r="S36" s="84"/>
      <c r="T36" s="84"/>
      <c r="U36" s="84"/>
    </row>
    <row r="37" spans="1:21" s="195" customFormat="1" ht="12" customHeight="1" x14ac:dyDescent="0.2">
      <c r="A37" s="36" t="s">
        <v>82</v>
      </c>
      <c r="B37" s="220" t="s">
        <v>84</v>
      </c>
      <c r="C37" s="218"/>
      <c r="D37" s="220" t="s">
        <v>84</v>
      </c>
      <c r="E37" s="212"/>
      <c r="F37" s="220" t="s">
        <v>84</v>
      </c>
      <c r="G37" s="218"/>
      <c r="H37" s="220" t="s">
        <v>84</v>
      </c>
      <c r="I37" s="212"/>
      <c r="J37" s="220" t="s">
        <v>84</v>
      </c>
      <c r="K37" s="218"/>
      <c r="L37" s="220" t="s">
        <v>84</v>
      </c>
      <c r="M37" s="212"/>
      <c r="N37" s="220" t="s">
        <v>84</v>
      </c>
      <c r="O37" s="218"/>
      <c r="P37" s="220" t="s">
        <v>84</v>
      </c>
      <c r="Q37" s="212"/>
      <c r="R37" s="220" t="s">
        <v>84</v>
      </c>
      <c r="S37" s="218"/>
      <c r="T37" s="220" t="s">
        <v>84</v>
      </c>
      <c r="U37" s="208"/>
    </row>
    <row r="38" spans="1:21" s="195" customFormat="1" ht="12" customHeight="1" x14ac:dyDescent="0.25">
      <c r="A38" s="36" t="s">
        <v>136</v>
      </c>
      <c r="B38" s="159" cm="1">
        <f t="array" ref="B38">o_Zonweringreductie(B37,B8)</f>
        <v>1</v>
      </c>
      <c r="C38" s="208"/>
      <c r="D38" s="159" cm="1">
        <f t="array" ref="D38">o_Zonweringreductie(D37,B8)</f>
        <v>1</v>
      </c>
      <c r="E38" s="208"/>
      <c r="F38" s="159" cm="1">
        <f t="array" ref="F38">o_Zonweringreductie(F37,F8)</f>
        <v>1</v>
      </c>
      <c r="G38" s="208"/>
      <c r="H38" s="159" cm="1">
        <f t="array" ref="H38">o_Zonweringreductie(H37,F8)</f>
        <v>1</v>
      </c>
      <c r="I38" s="208"/>
      <c r="J38" s="159" cm="1">
        <f t="array" ref="J38">o_Zonweringreductie(J37,J8)</f>
        <v>1</v>
      </c>
      <c r="K38" s="208"/>
      <c r="L38" s="159" cm="1">
        <f t="array" ref="L38">o_Zonweringreductie(L37,J8)</f>
        <v>1</v>
      </c>
      <c r="M38" s="208"/>
      <c r="N38" s="159" cm="1">
        <f t="array" ref="N38">o_Zonweringreductie(N37,N8)</f>
        <v>1</v>
      </c>
      <c r="O38" s="208"/>
      <c r="P38" s="159" cm="1">
        <f t="array" ref="P38">o_Zonweringreductie(P37,N8)</f>
        <v>1</v>
      </c>
      <c r="Q38" s="208"/>
      <c r="R38" s="159" cm="1">
        <f t="array" ref="R38">o_Zonweringreductie(R37,R8)</f>
        <v>1</v>
      </c>
      <c r="S38" s="208"/>
      <c r="T38" s="159" cm="1">
        <f t="array" ref="T38">o_Zonweringreductie(T37,R8)</f>
        <v>1</v>
      </c>
      <c r="U38" s="208"/>
    </row>
    <row r="39" spans="1:21" s="195" customFormat="1" ht="12" customHeight="1" x14ac:dyDescent="0.25">
      <c r="A39" s="36" t="s">
        <v>137</v>
      </c>
      <c r="B39" s="159" cm="1">
        <f t="array" ref="B39">IF(B10="Nee",0,o_Isol_Bij_Tijdstip($B$52,B8,B11))</f>
        <v>0</v>
      </c>
      <c r="C39" s="208" t="s">
        <v>12</v>
      </c>
      <c r="D39" s="159" cm="1">
        <f t="array" ref="D39">IF(B10="Nee",0,o_Isol_Bij_Tijdstip($B$52,B8,B11))</f>
        <v>0</v>
      </c>
      <c r="E39" s="208" t="s">
        <v>12</v>
      </c>
      <c r="F39" s="159" cm="1">
        <f t="array" ref="F39">IF(F10="Nee",0,o_Isol_Bij_Tijdstip($B$52,F8,F11))</f>
        <v>0</v>
      </c>
      <c r="G39" s="208" t="s">
        <v>12</v>
      </c>
      <c r="H39" s="159" cm="1">
        <f t="array" ref="H39">IF(F10="Nee",0,o_Isol_Bij_Tijdstip($B$52,F8,F11))</f>
        <v>0</v>
      </c>
      <c r="I39" s="208" t="s">
        <v>12</v>
      </c>
      <c r="J39" s="159" cm="1">
        <f t="array" ref="J39">IF(J10="Nee",0,o_Isol_Bij_Tijdstip($B$52,J8,J11))</f>
        <v>0</v>
      </c>
      <c r="K39" s="208" t="s">
        <v>12</v>
      </c>
      <c r="L39" s="159" cm="1">
        <f t="array" ref="L39">IF(J10="Nee",0,o_Isol_Bij_Tijdstip($B$52,J8,J11))</f>
        <v>0</v>
      </c>
      <c r="M39" s="208" t="s">
        <v>12</v>
      </c>
      <c r="N39" s="159" cm="1">
        <f t="array" ref="N39">IF(N10="Nee",0,o_Isol_Bij_Tijdstip($B$52,N8,N11))</f>
        <v>0</v>
      </c>
      <c r="O39" s="208" t="s">
        <v>12</v>
      </c>
      <c r="P39" s="159" cm="1">
        <f t="array" ref="P39">IF(N10="Nee",0,o_Isol_Bij_Tijdstip($B$52,N8,N11))</f>
        <v>0</v>
      </c>
      <c r="Q39" s="208" t="s">
        <v>12</v>
      </c>
      <c r="R39" s="159" cm="1">
        <f t="array" ref="R39">IF(R10="Nee",0,o_Isol_Bij_Tijdstip($B$52,R8,R11))</f>
        <v>0</v>
      </c>
      <c r="S39" s="208" t="s">
        <v>12</v>
      </c>
      <c r="T39" s="159" cm="1">
        <f t="array" ref="T39">IF(R10="Nee",0,o_Isol_Bij_Tijdstip($B$52,R8,R11))</f>
        <v>0</v>
      </c>
      <c r="U39" s="208" t="s">
        <v>12</v>
      </c>
    </row>
    <row r="40" spans="1:21" s="195" customFormat="1" x14ac:dyDescent="0.2">
      <c r="A40" s="75"/>
      <c r="B40" s="84"/>
      <c r="C40" s="84"/>
      <c r="D40" s="84"/>
      <c r="E40" s="84"/>
      <c r="F40" s="84"/>
      <c r="G40" s="84"/>
      <c r="H40" s="84"/>
      <c r="I40" s="84"/>
      <c r="J40" s="84"/>
      <c r="K40" s="84"/>
      <c r="L40" s="84"/>
      <c r="M40" s="84"/>
      <c r="N40" s="84"/>
      <c r="O40" s="84"/>
      <c r="P40" s="84"/>
      <c r="Q40" s="84"/>
      <c r="R40" s="84"/>
      <c r="S40" s="84"/>
      <c r="T40" s="84"/>
      <c r="U40" s="84"/>
    </row>
    <row r="41" spans="1:21" s="195" customFormat="1" ht="12" customHeight="1" x14ac:dyDescent="0.25">
      <c r="A41" s="66" t="s">
        <v>138</v>
      </c>
      <c r="B41" s="239" t="e" cm="1">
        <f t="array" ref="B41">VALUE(o_Tijdstip_Isol_Max_Orientatie(B8,B11))</f>
        <v>#VALUE!</v>
      </c>
      <c r="C41" s="239"/>
      <c r="D41" s="240"/>
      <c r="E41" s="87"/>
      <c r="F41" s="239" cm="1">
        <f t="array" ref="F41">VALUE(o_Tijdstip_Isol_Max_Orientatie(F8,F11))</f>
        <v>0.375</v>
      </c>
      <c r="G41" s="239"/>
      <c r="H41" s="240"/>
      <c r="I41" s="87"/>
      <c r="J41" s="239" cm="1">
        <f t="array" ref="J41">VALUE(o_Tijdstip_Isol_Max_Orientatie(J8,J11))</f>
        <v>0.58333333333333337</v>
      </c>
      <c r="K41" s="239"/>
      <c r="L41" s="240"/>
      <c r="M41" s="87"/>
      <c r="N41" s="239" cm="1">
        <f t="array" ref="N41">VALUE(o_Tijdstip_Isol_Max_Orientatie(N8,N11))</f>
        <v>0.625</v>
      </c>
      <c r="O41" s="239"/>
      <c r="P41" s="240"/>
      <c r="Q41" s="87"/>
      <c r="R41" s="239" cm="1">
        <f t="array" ref="R41">VALUE(o_Tijdstip_Isol_Max_Orientatie(R8,R11))</f>
        <v>0.5</v>
      </c>
      <c r="S41" s="239"/>
      <c r="T41" s="240"/>
      <c r="U41" s="84"/>
    </row>
    <row r="42" spans="1:21" s="195" customFormat="1" ht="12" customHeight="1" x14ac:dyDescent="0.25">
      <c r="A42" s="66" t="s">
        <v>139</v>
      </c>
      <c r="B42" s="241" t="e" cm="1">
        <f t="array" ref="B42">o_maxTemp(o_Tijdstip_Isol_Max_Orientatie(B8,B11))</f>
        <v>#VALUE!</v>
      </c>
      <c r="C42" s="241"/>
      <c r="D42" s="241"/>
      <c r="E42" s="207" t="s">
        <v>2</v>
      </c>
      <c r="F42" s="241" cm="1">
        <f t="array" ref="F42">o_maxTemp(o_Tijdstip_Isol_Max_Orientatie(F8,F11))</f>
        <v>24.7</v>
      </c>
      <c r="G42" s="241"/>
      <c r="H42" s="241"/>
      <c r="I42" s="207" t="s">
        <v>2</v>
      </c>
      <c r="J42" s="241" cm="1">
        <f t="array" ref="J42">o_maxTemp(o_Tijdstip_Isol_Max_Orientatie(J8,J11))</f>
        <v>29.9</v>
      </c>
      <c r="K42" s="241"/>
      <c r="L42" s="241"/>
      <c r="M42" s="207" t="s">
        <v>2</v>
      </c>
      <c r="N42" s="241" cm="1">
        <f t="array" ref="N42">o_maxTemp(o_Tijdstip_Isol_Max_Orientatie(N8,N11))</f>
        <v>29.8</v>
      </c>
      <c r="O42" s="241"/>
      <c r="P42" s="241"/>
      <c r="Q42" s="207" t="s">
        <v>2</v>
      </c>
      <c r="R42" s="241" cm="1">
        <f t="array" ref="R42">o_maxTemp(o_Tijdstip_Isol_Max_Orientatie(R8,R11))</f>
        <v>28.9</v>
      </c>
      <c r="S42" s="241"/>
      <c r="T42" s="241"/>
      <c r="U42" s="84"/>
    </row>
    <row r="43" spans="1:21" s="195" customFormat="1" ht="12" customHeight="1" x14ac:dyDescent="0.2">
      <c r="A43" s="75"/>
      <c r="B43" s="75"/>
      <c r="C43" s="75"/>
      <c r="D43" s="75"/>
      <c r="E43" s="35"/>
      <c r="F43" s="75"/>
      <c r="G43" s="75"/>
      <c r="H43" s="75"/>
      <c r="I43" s="75"/>
      <c r="J43" s="75"/>
      <c r="K43" s="75"/>
      <c r="L43" s="75"/>
      <c r="M43" s="75"/>
      <c r="N43" s="75"/>
      <c r="O43" s="75"/>
      <c r="P43" s="75"/>
      <c r="Q43" s="75"/>
      <c r="R43" s="75"/>
      <c r="S43" s="75"/>
      <c r="T43" s="84"/>
      <c r="U43" s="84"/>
    </row>
    <row r="44" spans="1:21" s="195" customFormat="1" ht="12" hidden="1" customHeight="1" x14ac:dyDescent="0.2">
      <c r="A44" s="92" t="s">
        <v>169</v>
      </c>
      <c r="B44" s="96">
        <f>IF(B10="Ja",B18+D18,0)</f>
        <v>0</v>
      </c>
      <c r="C44" s="35" t="s">
        <v>0</v>
      </c>
      <c r="D44" s="75"/>
      <c r="E44" s="35"/>
      <c r="F44" s="96">
        <f>IF(F10="Ja",F18+H18,0)</f>
        <v>0</v>
      </c>
      <c r="G44" s="35" t="s">
        <v>0</v>
      </c>
      <c r="H44" s="75"/>
      <c r="I44" s="75"/>
      <c r="J44" s="96">
        <f>IF(J10="Ja",J18+L18,0)</f>
        <v>0</v>
      </c>
      <c r="K44" s="35" t="s">
        <v>0</v>
      </c>
      <c r="L44" s="75"/>
      <c r="M44" s="75"/>
      <c r="N44" s="96">
        <f>IF(N10="Ja",N18+P18,0)</f>
        <v>0</v>
      </c>
      <c r="O44" s="35" t="s">
        <v>0</v>
      </c>
      <c r="P44" s="75"/>
      <c r="Q44" s="75"/>
      <c r="R44" s="96">
        <f>IF(R10="Ja",R18+T18,0)</f>
        <v>0</v>
      </c>
      <c r="S44" s="35" t="s">
        <v>0</v>
      </c>
      <c r="T44" s="84"/>
      <c r="U44" s="84"/>
    </row>
    <row r="45" spans="1:21" s="195" customFormat="1" ht="12" hidden="1" customHeight="1" x14ac:dyDescent="0.2">
      <c r="A45" s="92" t="s">
        <v>126</v>
      </c>
      <c r="B45" s="93" t="b">
        <f>IF(B10="Ja",IF(B8="Noord",FALSE,TRUE),FALSE)</f>
        <v>0</v>
      </c>
      <c r="C45" s="35"/>
      <c r="D45" s="35"/>
      <c r="E45" s="35"/>
      <c r="F45" s="94" t="b">
        <f>IF(F10="Ja",IF(F8="Noord",FALSE,TRUE),FALSE)</f>
        <v>0</v>
      </c>
      <c r="G45" s="75"/>
      <c r="H45" s="75"/>
      <c r="I45" s="75"/>
      <c r="J45" s="94" t="b">
        <f>IF(J10="Ja",IF(J8="Noord",FALSE,TRUE),FALSE)</f>
        <v>0</v>
      </c>
      <c r="K45" s="75"/>
      <c r="L45" s="75"/>
      <c r="M45" s="75"/>
      <c r="N45" s="94" t="b">
        <f>IF(N10="Ja",IF(N8="Noord",FALSE,TRUE),FALSE)</f>
        <v>0</v>
      </c>
      <c r="O45" s="75"/>
      <c r="P45" s="75"/>
      <c r="Q45" s="75"/>
      <c r="R45" s="94" t="b">
        <f>IF(R10="Ja",IF(R8="Noord",FALSE,TRUE),FALSE)</f>
        <v>0</v>
      </c>
      <c r="S45" s="75"/>
      <c r="T45" s="84"/>
      <c r="U45" s="84"/>
    </row>
    <row r="46" spans="1:21" s="195" customFormat="1" ht="12" hidden="1" customHeight="1" x14ac:dyDescent="0.2">
      <c r="A46" s="92" t="s">
        <v>109</v>
      </c>
      <c r="B46" s="95" t="b">
        <f>IF(AND(B45=TRUE,COUNTIF($B$45:$R$45,TRUE)=1),TRUE,FALSE)</f>
        <v>0</v>
      </c>
      <c r="C46" s="35"/>
      <c r="D46" s="75"/>
      <c r="E46" s="35"/>
      <c r="F46" s="95" t="b">
        <f>IF(AND(F45=TRUE,COUNTIF($B$45:$R$45,TRUE)=1),TRUE,FALSE)</f>
        <v>0</v>
      </c>
      <c r="G46" s="75"/>
      <c r="H46" s="75"/>
      <c r="I46" s="75"/>
      <c r="J46" s="95" t="b">
        <f>IF(AND(J45=TRUE,COUNTIF($B$45:$R$45,TRUE)=1),TRUE,FALSE)</f>
        <v>0</v>
      </c>
      <c r="K46" s="75"/>
      <c r="L46" s="75"/>
      <c r="M46" s="75"/>
      <c r="N46" s="95" t="b">
        <f>IF(AND(N45=TRUE,COUNTIF($B$45:$R$45,TRUE)=1),TRUE,FALSE)</f>
        <v>0</v>
      </c>
      <c r="O46" s="75"/>
      <c r="P46" s="75"/>
      <c r="Q46" s="75"/>
      <c r="R46" s="95" t="b">
        <f>IF(AND(R45=TRUE,COUNTIF($B$45:$R$45,TRUE)=1),TRUE,FALSE)</f>
        <v>0</v>
      </c>
      <c r="S46" s="75"/>
      <c r="T46" s="84"/>
      <c r="U46" s="84"/>
    </row>
    <row r="47" spans="1:21" s="195" customFormat="1" ht="12" hidden="1" customHeight="1" x14ac:dyDescent="0.2">
      <c r="A47" s="92" t="s">
        <v>152</v>
      </c>
      <c r="B47" s="96">
        <f>IF(B8&lt;&gt;"Noord",B44,0)</f>
        <v>0</v>
      </c>
      <c r="C47" s="35" t="s">
        <v>0</v>
      </c>
      <c r="D47" s="75"/>
      <c r="E47" s="35"/>
      <c r="F47" s="96">
        <f>IF(F8&lt;&gt;"Noord",F44,0)</f>
        <v>0</v>
      </c>
      <c r="G47" s="35" t="s">
        <v>0</v>
      </c>
      <c r="H47" s="75"/>
      <c r="I47" s="75"/>
      <c r="J47" s="96">
        <f>IF(J8&lt;&gt;"Noord",J44,0)</f>
        <v>0</v>
      </c>
      <c r="K47" s="35" t="s">
        <v>0</v>
      </c>
      <c r="L47" s="75"/>
      <c r="M47" s="75"/>
      <c r="N47" s="96">
        <f>IF(N8&lt;&gt;"Noord",N44,0)</f>
        <v>0</v>
      </c>
      <c r="O47" s="35" t="s">
        <v>0</v>
      </c>
      <c r="P47" s="75"/>
      <c r="Q47" s="75"/>
      <c r="R47" s="96">
        <f>R44</f>
        <v>0</v>
      </c>
      <c r="S47" s="35" t="s">
        <v>0</v>
      </c>
      <c r="T47" s="84"/>
      <c r="U47" s="84"/>
    </row>
    <row r="48" spans="1:21" s="195" customFormat="1" ht="12" hidden="1" customHeight="1" x14ac:dyDescent="0.2">
      <c r="A48" s="92" t="s">
        <v>153</v>
      </c>
      <c r="B48" s="97" t="b">
        <f>IF(AND(B45,B47=MAX($B$47:$R$47)),TRUE,FALSE)</f>
        <v>0</v>
      </c>
      <c r="C48" s="35"/>
      <c r="D48" s="75"/>
      <c r="E48" s="35"/>
      <c r="F48" s="97" t="b">
        <f>IF(AND(F45,F47=MAX($B$47:$R$47)),TRUE,FALSE)</f>
        <v>0</v>
      </c>
      <c r="G48" s="75"/>
      <c r="H48" s="75"/>
      <c r="I48" s="75"/>
      <c r="J48" s="97" t="b">
        <f>IF(AND(J45,J47=MAX($B$47:$R$47)),TRUE,FALSE)</f>
        <v>0</v>
      </c>
      <c r="K48" s="75"/>
      <c r="L48" s="75"/>
      <c r="M48" s="75"/>
      <c r="N48" s="97" t="b">
        <f>IF(AND(N45,N47=MAX($B$47:$R$47)),TRUE,FALSE)</f>
        <v>0</v>
      </c>
      <c r="O48" s="75"/>
      <c r="P48" s="75"/>
      <c r="Q48" s="75"/>
      <c r="R48" s="97" t="b">
        <f>IF(AND(R45,R47=MAX($B$47:$R$47)),TRUE,FALSE)</f>
        <v>0</v>
      </c>
      <c r="S48" s="75"/>
      <c r="T48" s="84"/>
      <c r="U48" s="84"/>
    </row>
    <row r="49" spans="1:21" s="195" customFormat="1" ht="12" hidden="1" customHeight="1" x14ac:dyDescent="0.2">
      <c r="A49" s="92" t="s">
        <v>125</v>
      </c>
      <c r="B49" s="98" t="e">
        <f>IF(AND(B11&lt;90,B15&gt;3*(B18+D18),'Projectgegevens en Resultaten'!#REF!&lt;65),TRUE,FALSE)</f>
        <v>#REF!</v>
      </c>
      <c r="C49" s="35"/>
      <c r="D49" s="35"/>
      <c r="E49" s="35"/>
      <c r="F49" s="98" t="e">
        <f>IF(AND(F11&lt;90,F15&gt;3*(F18+H18),'Projectgegevens en Resultaten'!#REF!&lt;65),TRUE,FALSE)</f>
        <v>#REF!</v>
      </c>
      <c r="G49" s="75"/>
      <c r="H49" s="75"/>
      <c r="I49" s="75"/>
      <c r="J49" s="98" t="e">
        <f>IF(AND(J11&lt;90,J15&gt;3*(J18+L18),'Projectgegevens en Resultaten'!#REF!&lt;65),TRUE,FALSE)</f>
        <v>#REF!</v>
      </c>
      <c r="K49" s="75"/>
      <c r="L49" s="75"/>
      <c r="M49" s="75"/>
      <c r="N49" s="98" t="e">
        <f>IF(AND(N11&lt;90,N15&gt;3*(N18+P18),'Projectgegevens en Resultaten'!#REF!&lt;65),TRUE,FALSE)</f>
        <v>#REF!</v>
      </c>
      <c r="O49" s="75"/>
      <c r="P49" s="75"/>
      <c r="Q49" s="75"/>
      <c r="R49" s="98" t="e">
        <f>IF(AND(R11&lt;90,R15&gt;3*(R18+T18),'Projectgegevens en Resultaten'!#REF!&lt;65),TRUE,FALSE)</f>
        <v>#REF!</v>
      </c>
      <c r="S49" s="75"/>
      <c r="T49" s="84"/>
      <c r="U49" s="84"/>
    </row>
    <row r="50" spans="1:21" s="195" customFormat="1" ht="12" hidden="1" customHeight="1" x14ac:dyDescent="0.2">
      <c r="A50" s="92" t="s">
        <v>154</v>
      </c>
      <c r="B50" s="98" t="b">
        <f>IF(COUNTIF($B$49:$R$49,TRUE)&gt;0,TRUE,FALSE)</f>
        <v>0</v>
      </c>
      <c r="C50" s="35"/>
      <c r="D50" s="35"/>
      <c r="E50" s="35"/>
      <c r="F50" s="98" t="b">
        <f>IF(COUNTIF($B$49:$R$49,TRUE)&gt;0,TRUE,FALSE)</f>
        <v>0</v>
      </c>
      <c r="G50" s="75"/>
      <c r="H50" s="75"/>
      <c r="I50" s="75"/>
      <c r="J50" s="98" t="b">
        <f>IF(COUNTIF($B$49:$R$49,TRUE)&gt;0,TRUE,FALSE)</f>
        <v>0</v>
      </c>
      <c r="K50" s="75"/>
      <c r="L50" s="75"/>
      <c r="M50" s="75"/>
      <c r="N50" s="98" t="b">
        <f>IF(COUNTIF($B$49:$R$49,TRUE)&gt;0,TRUE,FALSE)</f>
        <v>0</v>
      </c>
      <c r="O50" s="75"/>
      <c r="P50" s="75"/>
      <c r="Q50" s="75"/>
      <c r="R50" s="98" t="b">
        <f>IF(COUNTIF($B$49:$R$49,TRUE)&gt;0,TRUE,FALSE)</f>
        <v>0</v>
      </c>
      <c r="S50" s="75"/>
      <c r="T50" s="84"/>
      <c r="U50" s="84"/>
    </row>
    <row r="51" spans="1:21" s="195" customFormat="1" ht="12" hidden="1" customHeight="1" x14ac:dyDescent="0.2">
      <c r="A51" s="92" t="s">
        <v>151</v>
      </c>
      <c r="B51" s="99" t="e">
        <f>IF(OR(B46,AND(B45,B50,B49),AND(B45,B48,NOT(B50))),B41)</f>
        <v>#REF!</v>
      </c>
      <c r="C51" s="35"/>
      <c r="D51" s="35"/>
      <c r="E51" s="35"/>
      <c r="F51" s="99" t="e">
        <f>IF(OR(F46,AND(F45,F50,F49),AND(F45,F48,NOT(F50))),F41)</f>
        <v>#REF!</v>
      </c>
      <c r="G51" s="75"/>
      <c r="H51" s="35"/>
      <c r="I51" s="75"/>
      <c r="J51" s="99" t="e">
        <f>IF(OR(J46,AND(J45,J50,J49),AND(J45,J48,NOT(J50))),J41)</f>
        <v>#REF!</v>
      </c>
      <c r="K51" s="75"/>
      <c r="L51" s="35"/>
      <c r="M51" s="75"/>
      <c r="N51" s="99" t="e">
        <f>IF(OR(N46,AND(N45,N50,N49),AND(N45,N48,NOT(N50))),N41)</f>
        <v>#REF!</v>
      </c>
      <c r="O51" s="75"/>
      <c r="P51" s="75"/>
      <c r="Q51" s="75"/>
      <c r="R51" s="99" t="e">
        <f>IF(OR(R46,AND(R45,R50,R49),AND(R45,R48,NOT(R50))),R41)</f>
        <v>#REF!</v>
      </c>
      <c r="S51" s="75"/>
      <c r="T51" s="84"/>
      <c r="U51" s="84"/>
    </row>
    <row r="52" spans="1:21" s="195" customFormat="1" ht="12" customHeight="1" x14ac:dyDescent="0.25">
      <c r="A52" s="39" t="s">
        <v>140</v>
      </c>
      <c r="B52" s="100" t="str">
        <f>IFERROR(B88,"geen glas ingevoerd")</f>
        <v>Geen glas aanwezig</v>
      </c>
      <c r="C52" s="35"/>
      <c r="D52" s="35"/>
      <c r="E52" s="35"/>
      <c r="F52" s="75"/>
      <c r="G52" s="75"/>
      <c r="H52" s="75"/>
      <c r="I52" s="75"/>
      <c r="J52" s="75"/>
      <c r="K52" s="75"/>
      <c r="L52" s="75"/>
      <c r="M52" s="75"/>
      <c r="N52" s="75"/>
      <c r="O52" s="75"/>
      <c r="P52" s="75"/>
      <c r="Q52" s="75"/>
      <c r="R52" s="75"/>
      <c r="S52" s="75"/>
      <c r="T52" s="84"/>
      <c r="U52" s="84"/>
    </row>
    <row r="53" spans="1:21" s="195" customFormat="1" ht="12" customHeight="1" x14ac:dyDescent="0.25">
      <c r="A53" s="66" t="s">
        <v>139</v>
      </c>
      <c r="B53" s="98" t="str">
        <f>IF(MAX(T77:T86)=0,"",_xlfn.XLOOKUP(MAX(T77:T86),T77:T86,$D$77:$D$86,"nvt"))</f>
        <v/>
      </c>
      <c r="C53" s="71" t="s">
        <v>2</v>
      </c>
      <c r="D53" s="35"/>
      <c r="E53" s="35"/>
      <c r="F53" s="75"/>
      <c r="G53" s="75"/>
      <c r="H53" s="75"/>
      <c r="I53" s="75"/>
      <c r="J53" s="75"/>
      <c r="K53" s="75"/>
      <c r="L53" s="75"/>
      <c r="M53" s="75"/>
      <c r="N53" s="75"/>
      <c r="O53" s="75"/>
      <c r="P53" s="75"/>
      <c r="Q53" s="75"/>
      <c r="R53" s="75"/>
      <c r="S53" s="75"/>
      <c r="T53" s="84"/>
      <c r="U53" s="84"/>
    </row>
    <row r="54" spans="1:21" s="195" customFormat="1" ht="12" customHeight="1" x14ac:dyDescent="0.2">
      <c r="A54" s="75"/>
      <c r="B54" s="75"/>
      <c r="C54" s="75"/>
      <c r="D54" s="75"/>
      <c r="E54" s="75"/>
      <c r="F54" s="75"/>
      <c r="G54" s="75"/>
      <c r="H54" s="75"/>
      <c r="I54" s="75"/>
      <c r="J54" s="75"/>
      <c r="K54" s="75"/>
      <c r="L54" s="75"/>
      <c r="M54" s="75"/>
      <c r="N54" s="75"/>
      <c r="O54" s="75"/>
      <c r="P54" s="75"/>
      <c r="Q54" s="75"/>
      <c r="R54" s="75"/>
      <c r="S54" s="75"/>
      <c r="T54" s="84"/>
      <c r="U54" s="84"/>
    </row>
    <row r="55" spans="1:21" s="195" customFormat="1" ht="12" customHeight="1" x14ac:dyDescent="0.25">
      <c r="A55" s="36" t="s">
        <v>260</v>
      </c>
      <c r="B55" s="248">
        <f>IF(B10="Nee",0,B16*'Projectgegevens en Resultaten'!$B$16)</f>
        <v>0</v>
      </c>
      <c r="C55" s="248"/>
      <c r="D55" s="249"/>
      <c r="E55" s="40" t="s">
        <v>11</v>
      </c>
      <c r="F55" s="248">
        <f>IF(F10="Nee",0,F16*'Projectgegevens en Resultaten'!$B$16)</f>
        <v>0</v>
      </c>
      <c r="G55" s="248"/>
      <c r="H55" s="249"/>
      <c r="I55" s="40" t="s">
        <v>11</v>
      </c>
      <c r="J55" s="248">
        <f>IF(J10="Nee",0,J16*'Projectgegevens en Resultaten'!$B$16)</f>
        <v>0</v>
      </c>
      <c r="K55" s="248"/>
      <c r="L55" s="249"/>
      <c r="M55" s="40" t="s">
        <v>11</v>
      </c>
      <c r="N55" s="248">
        <f>IF(N10="Nee",0,N16*'Projectgegevens en Resultaten'!$B$16)</f>
        <v>0</v>
      </c>
      <c r="O55" s="248"/>
      <c r="P55" s="249"/>
      <c r="Q55" s="40" t="s">
        <v>11</v>
      </c>
      <c r="R55" s="248">
        <f>IF(R10="Nee",0,R16*'Projectgegevens en Resultaten'!$B$16)</f>
        <v>0</v>
      </c>
      <c r="S55" s="248"/>
      <c r="T55" s="249"/>
      <c r="U55" s="40" t="s">
        <v>11</v>
      </c>
    </row>
    <row r="56" spans="1:21" s="195" customFormat="1" ht="12" customHeight="1" x14ac:dyDescent="0.25">
      <c r="A56" s="72" t="s">
        <v>142</v>
      </c>
      <c r="B56" s="242">
        <f>(0.75*B18*FLOOR(B20,0.05)*0.9*B35*B38*B39)+(0.75*D18*FLOOR(D20,0.05)*0.9*D35*D38*D39)</f>
        <v>0</v>
      </c>
      <c r="C56" s="242"/>
      <c r="D56" s="243"/>
      <c r="E56" s="40" t="s">
        <v>11</v>
      </c>
      <c r="F56" s="242">
        <f>(0.75*F18*FLOOR(F20,0.05)*0.9*F35*F38*F39)+(0.75*H18*FLOOR(H20,0.05)*0.9*H35*H38*H39)</f>
        <v>0</v>
      </c>
      <c r="G56" s="242"/>
      <c r="H56" s="243"/>
      <c r="I56" s="40" t="s">
        <v>11</v>
      </c>
      <c r="J56" s="242">
        <f>(0.75*J18*FLOOR(J20,0.05)*0.9*J35*J38*J39)+(0.75*L18*FLOOR(L20,0.05)*0.9*L35*L38*L39)</f>
        <v>0</v>
      </c>
      <c r="K56" s="242"/>
      <c r="L56" s="243"/>
      <c r="M56" s="40" t="s">
        <v>11</v>
      </c>
      <c r="N56" s="242">
        <f>(0.75*N18*FLOOR(N20,0.05)*0.9*N35*N38*N39)+(0.75*P18*FLOOR(P20,0.05)*0.9*P35*P38*P39)</f>
        <v>0</v>
      </c>
      <c r="O56" s="242"/>
      <c r="P56" s="243"/>
      <c r="Q56" s="40" t="s">
        <v>11</v>
      </c>
      <c r="R56" s="242">
        <f>(0.75*R18*FLOOR(R20,0.05)*0.9*R35*R38*R39)+(0.75*T18*FLOOR(T20,0.05)*0.9*T35*T38*T39)</f>
        <v>0</v>
      </c>
      <c r="S56" s="242"/>
      <c r="T56" s="243"/>
      <c r="U56" s="40" t="s">
        <v>11</v>
      </c>
    </row>
    <row r="57" spans="1:21" s="195" customFormat="1" ht="12" customHeight="1" x14ac:dyDescent="0.25">
      <c r="A57" s="72" t="s">
        <v>143</v>
      </c>
      <c r="B57" s="248">
        <f>IF(B10="Nee",0,IFERROR(B18*B19*($B$53-24),0)+IFERROR(D18*D19*($B$53-24),0))</f>
        <v>0</v>
      </c>
      <c r="C57" s="248"/>
      <c r="D57" s="249"/>
      <c r="E57" s="40" t="s">
        <v>11</v>
      </c>
      <c r="F57" s="248">
        <f>IF(F10="Nee",0,IFERROR(F18*F19*($B$53-24),0)+IFERROR(H18*H19*($B$53-24),0))</f>
        <v>0</v>
      </c>
      <c r="G57" s="248"/>
      <c r="H57" s="249"/>
      <c r="I57" s="40" t="s">
        <v>11</v>
      </c>
      <c r="J57" s="248">
        <f>IF(J10="Nee",0,IFERROR(J18*J19*($B$53-24),0)+IFERROR(L18*L19*($B$53-24),0))</f>
        <v>0</v>
      </c>
      <c r="K57" s="248"/>
      <c r="L57" s="249"/>
      <c r="M57" s="40" t="s">
        <v>11</v>
      </c>
      <c r="N57" s="248">
        <f>IF(N10="Nee",0,IFERROR(N18*N19*($B$53-24),0)+IFERROR(P18*P19*($B$53-24),0))</f>
        <v>0</v>
      </c>
      <c r="O57" s="248"/>
      <c r="P57" s="249"/>
      <c r="Q57" s="40" t="s">
        <v>11</v>
      </c>
      <c r="R57" s="248">
        <f>IF(R10="Nee",0,IFERROR(R18*R19*($B$53-24),0)+IFERROR(T18*T19*($B$53-24),0))</f>
        <v>0</v>
      </c>
      <c r="S57" s="248"/>
      <c r="T57" s="249"/>
      <c r="U57" s="40" t="s">
        <v>11</v>
      </c>
    </row>
    <row r="58" spans="1:21" s="195" customFormat="1" ht="12" customHeight="1" x14ac:dyDescent="0.2">
      <c r="A58" s="66" t="s">
        <v>100</v>
      </c>
      <c r="B58" s="246">
        <f>SUM(B55:D57)</f>
        <v>0</v>
      </c>
      <c r="C58" s="246"/>
      <c r="D58" s="247"/>
      <c r="E58" s="40" t="s">
        <v>11</v>
      </c>
      <c r="F58" s="246">
        <f>SUM(F55:H57)</f>
        <v>0</v>
      </c>
      <c r="G58" s="246"/>
      <c r="H58" s="247"/>
      <c r="I58" s="41" t="s">
        <v>11</v>
      </c>
      <c r="J58" s="246">
        <f>SUM(J55:L57)</f>
        <v>0</v>
      </c>
      <c r="K58" s="246"/>
      <c r="L58" s="247"/>
      <c r="M58" s="41" t="s">
        <v>11</v>
      </c>
      <c r="N58" s="246">
        <f>SUM(N55:P57)</f>
        <v>0</v>
      </c>
      <c r="O58" s="246"/>
      <c r="P58" s="247"/>
      <c r="Q58" s="41" t="s">
        <v>11</v>
      </c>
      <c r="R58" s="250">
        <f>SUM(R55:R57)</f>
        <v>0</v>
      </c>
      <c r="S58" s="250"/>
      <c r="T58" s="250"/>
      <c r="U58" s="41" t="s">
        <v>11</v>
      </c>
    </row>
    <row r="59" spans="1:21" s="195" customFormat="1" ht="12" customHeight="1" x14ac:dyDescent="0.2">
      <c r="A59" s="75"/>
      <c r="B59" s="76"/>
      <c r="C59" s="76"/>
      <c r="D59" s="76"/>
      <c r="E59" s="75"/>
      <c r="F59" s="75"/>
      <c r="G59" s="75"/>
      <c r="H59" s="75"/>
      <c r="I59" s="75"/>
      <c r="J59" s="75"/>
      <c r="K59" s="75"/>
      <c r="L59" s="75"/>
      <c r="M59" s="75"/>
      <c r="N59" s="75"/>
      <c r="O59" s="75"/>
      <c r="P59" s="75"/>
      <c r="Q59" s="75"/>
      <c r="R59" s="75"/>
      <c r="S59" s="75"/>
      <c r="T59" s="75"/>
      <c r="U59" s="84"/>
    </row>
    <row r="60" spans="1:21" s="195" customFormat="1" ht="12" customHeight="1" x14ac:dyDescent="0.25">
      <c r="A60" s="36" t="s">
        <v>144</v>
      </c>
      <c r="B60" s="242">
        <f>IF(B5=0,0,IF(B4="Woonvertrek",2*'Projectgegevens en Resultaten'!$B$33*B5,'Projectgegevens en Resultaten'!$B$33*B5))</f>
        <v>0</v>
      </c>
      <c r="C60" s="242"/>
      <c r="D60" s="243"/>
      <c r="E60" s="40" t="s">
        <v>11</v>
      </c>
      <c r="F60" s="75"/>
      <c r="G60" s="75"/>
      <c r="H60" s="75"/>
      <c r="I60" s="75"/>
      <c r="J60" s="75"/>
      <c r="K60" s="75"/>
      <c r="L60" s="75"/>
      <c r="M60" s="75"/>
      <c r="N60" s="75"/>
      <c r="O60" s="75"/>
      <c r="P60" s="75"/>
      <c r="Q60" s="75"/>
      <c r="R60" s="65"/>
      <c r="S60" s="35"/>
      <c r="T60" s="75"/>
      <c r="U60" s="84"/>
    </row>
    <row r="61" spans="1:21" s="195" customFormat="1" ht="12" customHeight="1" x14ac:dyDescent="0.25">
      <c r="A61" s="36" t="s">
        <v>145</v>
      </c>
      <c r="B61" s="244">
        <f>IFERROR(MAX((SUM('Projectgegevens en Resultaten'!$B$21:$B$23)/3600*1.205*1005*(B53-24))/SUM('Projectgegevens en Resultaten'!$B$40:$T$40)*B5,0),0)</f>
        <v>0</v>
      </c>
      <c r="C61" s="244">
        <f>IFERROR(MAX(SUM(C57:C59)/3600*1.205*1005*(C60-24),0),0)</f>
        <v>0</v>
      </c>
      <c r="D61" s="245">
        <f>IFERROR(MAX(SUM(D57:D59)/3600*1.205*1005*(D60-24),0),0)</f>
        <v>0</v>
      </c>
      <c r="E61" s="40" t="s">
        <v>11</v>
      </c>
      <c r="F61" s="75"/>
      <c r="G61" s="75"/>
      <c r="H61" s="75"/>
      <c r="I61" s="75"/>
      <c r="J61" s="75"/>
      <c r="K61" s="75"/>
      <c r="L61" s="75"/>
      <c r="M61" s="75"/>
      <c r="N61" s="75"/>
      <c r="O61" s="75"/>
      <c r="P61" s="75"/>
      <c r="Q61" s="75"/>
      <c r="R61" s="65"/>
      <c r="S61" s="35"/>
      <c r="T61" s="75"/>
      <c r="U61" s="84"/>
    </row>
    <row r="62" spans="1:21" s="195" customFormat="1" ht="12" customHeight="1" x14ac:dyDescent="0.2">
      <c r="A62" s="75"/>
      <c r="B62" s="76"/>
      <c r="C62" s="76"/>
      <c r="D62" s="76"/>
      <c r="E62" s="75"/>
      <c r="F62" s="75"/>
      <c r="G62" s="75"/>
      <c r="H62" s="75"/>
      <c r="I62" s="75"/>
      <c r="J62" s="75"/>
      <c r="K62" s="75"/>
      <c r="L62" s="75"/>
      <c r="M62" s="75"/>
      <c r="N62" s="75"/>
      <c r="O62" s="75"/>
      <c r="P62" s="75"/>
      <c r="Q62" s="75"/>
      <c r="R62" s="75"/>
      <c r="S62" s="75"/>
      <c r="T62" s="75"/>
      <c r="U62" s="84"/>
    </row>
    <row r="63" spans="1:21" s="195" customFormat="1" ht="12" customHeight="1" x14ac:dyDescent="0.2">
      <c r="A63" s="72" t="s">
        <v>167</v>
      </c>
      <c r="B63" s="242">
        <f>IFERROR(SUM(B58:T58)+B60+B61,0)</f>
        <v>0</v>
      </c>
      <c r="C63" s="242"/>
      <c r="D63" s="243"/>
      <c r="E63" s="40" t="s">
        <v>11</v>
      </c>
      <c r="F63" s="35"/>
      <c r="G63" s="35"/>
      <c r="H63" s="35"/>
      <c r="I63" s="35"/>
      <c r="J63" s="35"/>
      <c r="K63" s="35"/>
      <c r="L63" s="35"/>
      <c r="M63" s="35"/>
      <c r="N63" s="35"/>
      <c r="O63" s="35"/>
      <c r="P63" s="35"/>
      <c r="Q63" s="35"/>
      <c r="R63" s="35"/>
      <c r="S63" s="35"/>
      <c r="T63" s="75"/>
      <c r="U63" s="84"/>
    </row>
    <row r="64" spans="1:21" s="195" customFormat="1" ht="12" customHeight="1" x14ac:dyDescent="0.2">
      <c r="A64" s="72" t="s">
        <v>99</v>
      </c>
      <c r="B64" s="246">
        <f>IFERROR(B63/B5,0)</f>
        <v>0</v>
      </c>
      <c r="C64" s="246"/>
      <c r="D64" s="247"/>
      <c r="E64" s="40" t="s">
        <v>12</v>
      </c>
      <c r="F64" s="35"/>
      <c r="G64" s="35"/>
      <c r="H64" s="35"/>
      <c r="I64" s="35"/>
      <c r="J64" s="35"/>
      <c r="K64" s="35"/>
      <c r="L64" s="35"/>
      <c r="M64" s="35"/>
      <c r="N64" s="35"/>
      <c r="O64" s="35"/>
      <c r="P64" s="35"/>
      <c r="Q64" s="35"/>
      <c r="R64" s="35"/>
      <c r="S64" s="35"/>
      <c r="T64" s="75"/>
      <c r="U64" s="84"/>
    </row>
    <row r="65" spans="1:21" s="195" customFormat="1" ht="12" customHeight="1" x14ac:dyDescent="0.2">
      <c r="A65" s="75"/>
      <c r="B65" s="75"/>
      <c r="C65" s="75"/>
      <c r="D65" s="75"/>
      <c r="E65" s="75"/>
      <c r="F65" s="75"/>
      <c r="G65" s="75"/>
      <c r="H65" s="75"/>
      <c r="I65" s="75"/>
      <c r="J65" s="75"/>
      <c r="K65" s="75"/>
      <c r="L65" s="75"/>
      <c r="M65" s="75"/>
      <c r="N65" s="75"/>
      <c r="O65" s="75"/>
      <c r="P65" s="75"/>
      <c r="Q65" s="75"/>
      <c r="R65" s="75"/>
      <c r="S65" s="75"/>
      <c r="T65" s="75"/>
      <c r="U65" s="84"/>
    </row>
    <row r="70" spans="1:21" hidden="1" x14ac:dyDescent="0.2"/>
    <row r="71" spans="1:21" ht="15" hidden="1" customHeight="1" x14ac:dyDescent="0.2">
      <c r="A71" s="236" t="s">
        <v>251</v>
      </c>
      <c r="B71" s="236"/>
      <c r="C71" s="236"/>
      <c r="D71" s="236"/>
      <c r="E71" s="236"/>
      <c r="F71" s="236"/>
      <c r="G71" s="236"/>
      <c r="H71" s="236"/>
      <c r="I71" s="236"/>
      <c r="J71" s="236"/>
      <c r="K71" s="236"/>
      <c r="L71" s="236"/>
      <c r="M71" s="236"/>
      <c r="N71" s="236"/>
      <c r="O71" s="236"/>
      <c r="P71" s="236"/>
      <c r="Q71" s="236"/>
      <c r="R71" s="236"/>
      <c r="S71" s="236"/>
      <c r="T71" s="236"/>
      <c r="U71" s="236"/>
    </row>
    <row r="72" spans="1:21" ht="15" hidden="1" customHeight="1" x14ac:dyDescent="0.2">
      <c r="A72" s="236"/>
      <c r="B72" s="236"/>
      <c r="C72" s="236"/>
      <c r="D72" s="236"/>
      <c r="E72" s="236"/>
      <c r="F72" s="236"/>
      <c r="G72" s="236"/>
      <c r="H72" s="236"/>
      <c r="I72" s="236"/>
      <c r="J72" s="236"/>
      <c r="K72" s="236"/>
      <c r="L72" s="236"/>
      <c r="M72" s="236"/>
      <c r="N72" s="236"/>
      <c r="O72" s="236"/>
      <c r="P72" s="236"/>
      <c r="Q72" s="236"/>
      <c r="R72" s="236"/>
      <c r="S72" s="236"/>
      <c r="T72" s="236"/>
      <c r="U72" s="236"/>
    </row>
    <row r="73" spans="1:21" hidden="1" x14ac:dyDescent="0.2">
      <c r="A73" s="196" t="s">
        <v>249</v>
      </c>
      <c r="B73" s="197" cm="1">
        <f t="array" ref="B73">IF(B$10="Nee",0,o_Isol_Max_Orientatie(B8,B11))</f>
        <v>0</v>
      </c>
      <c r="C73" s="198" t="s">
        <v>12</v>
      </c>
      <c r="D73" s="198"/>
      <c r="E73" s="198"/>
      <c r="F73" s="197" cm="1">
        <f t="array" ref="F73">IF(F$10="Nee",0,o_Isol_Max_Orientatie(F8,F11))</f>
        <v>0</v>
      </c>
      <c r="G73" s="198" t="s">
        <v>12</v>
      </c>
      <c r="H73" s="198"/>
      <c r="I73" s="198"/>
      <c r="J73" s="197" cm="1">
        <f t="array" ref="J73">IF(J$10="Nee",0,o_Isol_Max_Orientatie(J8,J11))</f>
        <v>0</v>
      </c>
      <c r="K73" s="198" t="s">
        <v>12</v>
      </c>
      <c r="L73" s="198"/>
      <c r="M73" s="198"/>
      <c r="N73" s="197" cm="1">
        <f t="array" ref="N73">IF(N$10="Nee",0,o_Isol_Max_Orientatie(N8,N11))</f>
        <v>0</v>
      </c>
      <c r="O73" s="198" t="s">
        <v>12</v>
      </c>
      <c r="P73" s="198"/>
      <c r="Q73" s="198"/>
      <c r="R73" s="197" cm="1">
        <f t="array" ref="R73">IF(R$10="Nee",0,o_Isol_Max_Orientatie(R8,R11))</f>
        <v>0</v>
      </c>
      <c r="S73" s="198" t="s">
        <v>12</v>
      </c>
      <c r="T73" s="198"/>
      <c r="U73" s="198"/>
    </row>
    <row r="74" spans="1:21" hidden="1" x14ac:dyDescent="0.2">
      <c r="A74" s="196" t="s">
        <v>250</v>
      </c>
      <c r="B74" s="199" t="e" cm="1">
        <f t="array" ref="B74">VALUE(o_Tijdstip_Isol_Max_Orientatie(B8,B11))</f>
        <v>#VALUE!</v>
      </c>
      <c r="C74" s="198"/>
      <c r="D74" s="198"/>
      <c r="E74" s="198"/>
      <c r="F74" s="200" cm="1">
        <f t="array" ref="F74">VALUE(o_Tijdstip_Isol_Max_Orientatie(F8,F11))</f>
        <v>0.375</v>
      </c>
      <c r="G74" s="198"/>
      <c r="H74" s="198"/>
      <c r="I74" s="198"/>
      <c r="J74" s="200" cm="1">
        <f t="array" ref="J74">VALUE(o_Tijdstip_Isol_Max_Orientatie(J8,J11))</f>
        <v>0.58333333333333337</v>
      </c>
      <c r="K74" s="198"/>
      <c r="L74" s="198"/>
      <c r="M74" s="198"/>
      <c r="N74" s="200" cm="1">
        <f t="array" ref="N74">VALUE(o_Tijdstip_Isol_Max_Orientatie(N8,N11))</f>
        <v>0.625</v>
      </c>
      <c r="O74" s="198"/>
      <c r="P74" s="198"/>
      <c r="Q74" s="198"/>
      <c r="R74" s="200" cm="1">
        <f t="array" ref="R74">VALUE(o_Tijdstip_Isol_Max_Orientatie(R8,R11))</f>
        <v>0.5</v>
      </c>
      <c r="S74" s="198"/>
      <c r="T74" s="198"/>
      <c r="U74" s="198"/>
    </row>
    <row r="75" spans="1:21" hidden="1" x14ac:dyDescent="0.2">
      <c r="A75" s="196"/>
      <c r="B75" s="196"/>
      <c r="C75" s="196"/>
      <c r="D75" s="196"/>
      <c r="E75" s="196"/>
      <c r="F75" s="196"/>
      <c r="G75" s="196"/>
      <c r="H75" s="196"/>
      <c r="I75" s="196"/>
      <c r="J75" s="196"/>
      <c r="K75" s="196"/>
      <c r="L75" s="196"/>
      <c r="M75" s="196"/>
      <c r="N75" s="196"/>
      <c r="O75" s="196"/>
      <c r="P75" s="196"/>
      <c r="Q75" s="196"/>
      <c r="R75" s="196"/>
      <c r="S75" s="196"/>
      <c r="T75" s="196"/>
      <c r="U75" s="196"/>
    </row>
    <row r="76" spans="1:21" ht="13.5" hidden="1" x14ac:dyDescent="0.25">
      <c r="A76" s="196" t="s">
        <v>142</v>
      </c>
      <c r="B76" s="196"/>
      <c r="C76" s="196"/>
      <c r="D76" s="196" t="s">
        <v>284</v>
      </c>
      <c r="E76" s="196"/>
      <c r="F76" s="196"/>
      <c r="G76" s="196"/>
      <c r="H76" s="196"/>
      <c r="I76" s="196"/>
      <c r="J76" s="196"/>
      <c r="K76" s="196"/>
      <c r="L76" s="196"/>
      <c r="M76" s="196"/>
      <c r="N76" s="196"/>
      <c r="O76" s="196"/>
      <c r="P76" s="196"/>
      <c r="Q76" s="196"/>
      <c r="R76" s="196"/>
      <c r="S76" s="196"/>
      <c r="T76" s="196"/>
      <c r="U76" s="196"/>
    </row>
    <row r="77" spans="1:21" hidden="1" x14ac:dyDescent="0.2">
      <c r="A77" s="201">
        <v>0.375</v>
      </c>
      <c r="B77" s="197" cm="1">
        <f t="array" ref="B77">IFERROR((0.75*B$18*FLOOR(B$20,0.05)*0.9*B$35*B$38*o_Isol_Bij_Tijdstip($A77,B$8,B$11))+(0.75*D$18*FLOOR(D$20,0.05)*0.9*D$35*D$38*o_Isol_Bij_Tijdstip($A77,B$8,B$11)),0)</f>
        <v>0</v>
      </c>
      <c r="C77" s="196" t="s">
        <v>11</v>
      </c>
      <c r="D77" s="196">
        <v>24.7</v>
      </c>
      <c r="E77" s="196"/>
      <c r="F77" s="197" cm="1">
        <f t="array" ref="F77">IFERROR((0.75*F$18*FLOOR(F$20,0.05)*0.9*F$35*F$38*o_Isol_Bij_Tijdstip($A77,F$8,F$11))+(0.75*H$18*FLOOR(H$20,0.05)*0.9*H$35*H$38*o_Isol_Bij_Tijdstip($A77,F$8,F$11)),0)</f>
        <v>0</v>
      </c>
      <c r="G77" s="196" t="s">
        <v>11</v>
      </c>
      <c r="H77" s="196"/>
      <c r="I77" s="196"/>
      <c r="J77" s="197" cm="1">
        <f t="array" ref="J77">IFERROR((0.75*J$18*FLOOR(J$20,0.05)*0.9*J$35*J$38*o_Isol_Bij_Tijdstip($A77,J$8,J$11))+(0.75*L$18*FLOOR(L$20,0.05)*0.9*L$35*L$38*o_Isol_Bij_Tijdstip($A77,J$8,J$11)),0)</f>
        <v>0</v>
      </c>
      <c r="K77" s="196" t="s">
        <v>11</v>
      </c>
      <c r="L77" s="196"/>
      <c r="M77" s="196"/>
      <c r="N77" s="197" cm="1">
        <f t="array" ref="N77">IFERROR((0.75*N$18*FLOOR(N$20,0.05)*0.9*N$35*N$38*o_Isol_Bij_Tijdstip($A77,N$8,N$11))+(0.75*P$18*FLOOR(P$20,0.05)*0.9*P$35*P$38*o_Isol_Bij_Tijdstip($A77,N$8,N$11)),0)</f>
        <v>0</v>
      </c>
      <c r="O77" s="196" t="s">
        <v>11</v>
      </c>
      <c r="P77" s="196"/>
      <c r="Q77" s="196"/>
      <c r="R77" s="197" cm="1">
        <f t="array" ref="R77">IFERROR(IF(R$10="Nee",0,(0.75*R$18*FLOOR(R$20,0.05)*0.9*R$35*R$38*o_Isol_Bij_Tijdstip($A77,R$8,R$11))+(0.75*T$18*FLOOR(T$20,0.05)*0.9*T$35*T$38*o_Isol_Bij_Tijdstip($A77,R$8,R$11))),0)</f>
        <v>0</v>
      </c>
      <c r="S77" s="196" t="s">
        <v>11</v>
      </c>
      <c r="T77" s="197">
        <f t="shared" ref="T77:T86" si="0">B77+F77+J77+N77+R77</f>
        <v>0</v>
      </c>
      <c r="U77" s="196" t="s">
        <v>11</v>
      </c>
    </row>
    <row r="78" spans="1:21" hidden="1" x14ac:dyDescent="0.2">
      <c r="A78" s="201">
        <v>0.41666666666666669</v>
      </c>
      <c r="B78" s="197" cm="1">
        <f t="array" ref="B78">IFERROR((0.75*B$18*FLOOR(B$20,0.05)*0.9*B$35*B$38*o_Isol_Bij_Tijdstip($A78,B$8,B$11))+(0.75*D$18*FLOOR(D$20,0.05)*0.9*D$35*D$38*o_Isol_Bij_Tijdstip($A78,B$8,B$11)),0)</f>
        <v>0</v>
      </c>
      <c r="C78" s="196" t="s">
        <v>11</v>
      </c>
      <c r="D78" s="196">
        <v>26.9</v>
      </c>
      <c r="E78" s="196"/>
      <c r="F78" s="197" cm="1">
        <f t="array" ref="F78">IFERROR((0.75*F$18*FLOOR(F$20,0.05)*0.9*F$35*F$38*o_Isol_Bij_Tijdstip($A78,F$8,F$11))+(0.75*H$18*FLOOR(H$20,0.05)*0.9*H$35*H$38*o_Isol_Bij_Tijdstip($A78,F$8,F$11)),0)</f>
        <v>0</v>
      </c>
      <c r="G78" s="196" t="s">
        <v>11</v>
      </c>
      <c r="H78" s="196"/>
      <c r="I78" s="196"/>
      <c r="J78" s="197" cm="1">
        <f t="array" ref="J78">IFERROR((0.75*J$18*FLOOR(J$20,0.05)*0.9*J$35*J$38*o_Isol_Bij_Tijdstip($A78,J$8,J$11))+(0.75*L$18*FLOOR(L$20,0.05)*0.9*L$35*L$38*o_Isol_Bij_Tijdstip($A78,J$8,J$11)),0)</f>
        <v>0</v>
      </c>
      <c r="K78" s="196" t="s">
        <v>11</v>
      </c>
      <c r="L78" s="196"/>
      <c r="M78" s="196"/>
      <c r="N78" s="197" cm="1">
        <f t="array" ref="N78">IFERROR((0.75*N$18*FLOOR(N$20,0.05)*0.9*N$35*N$38*o_Isol_Bij_Tijdstip($A78,N$8,N$11))+(0.75*P$18*FLOOR(P$20,0.05)*0.9*P$35*P$38*o_Isol_Bij_Tijdstip($A78,N$8,N$11)),0)</f>
        <v>0</v>
      </c>
      <c r="O78" s="196" t="s">
        <v>11</v>
      </c>
      <c r="P78" s="196"/>
      <c r="Q78" s="196"/>
      <c r="R78" s="197" cm="1">
        <f t="array" ref="R78">IFERROR(IF(R$10="Nee",0,(0.75*R$18*FLOOR(R$20,0.05)*0.9*R$35*R$38*o_Isol_Bij_Tijdstip($A78,R$8,R$11))+(0.75*T$18*FLOOR(T$20,0.05)*0.9*T$35*T$38*o_Isol_Bij_Tijdstip($A78,R$8,R$11))),0)</f>
        <v>0</v>
      </c>
      <c r="S78" s="196" t="s">
        <v>11</v>
      </c>
      <c r="T78" s="197">
        <f t="shared" si="0"/>
        <v>0</v>
      </c>
      <c r="U78" s="196" t="s">
        <v>11</v>
      </c>
    </row>
    <row r="79" spans="1:21" hidden="1" x14ac:dyDescent="0.2">
      <c r="A79" s="201">
        <v>0.45833333333333331</v>
      </c>
      <c r="B79" s="197" cm="1">
        <f t="array" ref="B79">IFERROR((0.75*B$18*FLOOR(B$20,0.05)*0.9*B$35*B$38*o_Isol_Bij_Tijdstip($A79,B$8,B$11))+(0.75*D$18*FLOOR(D$20,0.05)*0.9*D$35*D$38*o_Isol_Bij_Tijdstip($A79,B$8,B$11)),0)</f>
        <v>0</v>
      </c>
      <c r="C79" s="196" t="s">
        <v>11</v>
      </c>
      <c r="D79" s="196">
        <v>28.2</v>
      </c>
      <c r="E79" s="196"/>
      <c r="F79" s="197" cm="1">
        <f t="array" ref="F79">IFERROR((0.75*F$18*FLOOR(F$20,0.05)*0.9*F$35*F$38*o_Isol_Bij_Tijdstip($A79,F$8,F$11))+(0.75*H$18*FLOOR(H$20,0.05)*0.9*H$35*H$38*o_Isol_Bij_Tijdstip($A79,F$8,F$11)),0)</f>
        <v>0</v>
      </c>
      <c r="G79" s="196" t="s">
        <v>11</v>
      </c>
      <c r="H79" s="196"/>
      <c r="I79" s="196"/>
      <c r="J79" s="197" cm="1">
        <f t="array" ref="J79">IFERROR((0.75*J$18*FLOOR(J$20,0.05)*0.9*J$35*J$38*o_Isol_Bij_Tijdstip($A79,J$8,J$11))+(0.75*L$18*FLOOR(L$20,0.05)*0.9*L$35*L$38*o_Isol_Bij_Tijdstip($A79,J$8,J$11)),0)</f>
        <v>0</v>
      </c>
      <c r="K79" s="196" t="s">
        <v>11</v>
      </c>
      <c r="L79" s="196"/>
      <c r="M79" s="196"/>
      <c r="N79" s="197" cm="1">
        <f t="array" ref="N79">IFERROR((0.75*N$18*FLOOR(N$20,0.05)*0.9*N$35*N$38*o_Isol_Bij_Tijdstip($A79,N$8,N$11))+(0.75*P$18*FLOOR(P$20,0.05)*0.9*P$35*P$38*o_Isol_Bij_Tijdstip($A79,N$8,N$11)),0)</f>
        <v>0</v>
      </c>
      <c r="O79" s="196" t="s">
        <v>11</v>
      </c>
      <c r="P79" s="196"/>
      <c r="Q79" s="196"/>
      <c r="R79" s="197" cm="1">
        <f t="array" ref="R79">IFERROR(IF(R$10="Nee",0,(0.75*R$18*FLOOR(R$20,0.05)*0.9*R$35*R$38*o_Isol_Bij_Tijdstip($A79,R$8,R$11))+(0.75*T$18*FLOOR(T$20,0.05)*0.9*T$35*T$38*o_Isol_Bij_Tijdstip($A79,R$8,R$11))),0)</f>
        <v>0</v>
      </c>
      <c r="S79" s="196" t="s">
        <v>11</v>
      </c>
      <c r="T79" s="197">
        <f t="shared" si="0"/>
        <v>0</v>
      </c>
      <c r="U79" s="196" t="s">
        <v>11</v>
      </c>
    </row>
    <row r="80" spans="1:21" hidden="1" x14ac:dyDescent="0.2">
      <c r="A80" s="201">
        <v>0.5</v>
      </c>
      <c r="B80" s="197" cm="1">
        <f t="array" ref="B80">IFERROR((0.75*B$18*FLOOR(B$20,0.05)*0.9*B$35*B$38*o_Isol_Bij_Tijdstip($A80,B$8,B$11))+(0.75*D$18*FLOOR(D$20,0.05)*0.9*D$35*D$38*o_Isol_Bij_Tijdstip($A80,B$8,B$11)),0)</f>
        <v>0</v>
      </c>
      <c r="C80" s="196" t="s">
        <v>11</v>
      </c>
      <c r="D80" s="196">
        <v>28.9</v>
      </c>
      <c r="E80" s="196"/>
      <c r="F80" s="197" cm="1">
        <f t="array" ref="F80">IFERROR((0.75*F$18*FLOOR(F$20,0.05)*0.9*F$35*F$38*o_Isol_Bij_Tijdstip($A80,F$8,F$11))+(0.75*H$18*FLOOR(H$20,0.05)*0.9*H$35*H$38*o_Isol_Bij_Tijdstip($A80,F$8,F$11)),0)</f>
        <v>0</v>
      </c>
      <c r="G80" s="196" t="s">
        <v>11</v>
      </c>
      <c r="H80" s="196"/>
      <c r="I80" s="196"/>
      <c r="J80" s="197" cm="1">
        <f t="array" ref="J80">IFERROR((0.75*J$18*FLOOR(J$20,0.05)*0.9*J$35*J$38*o_Isol_Bij_Tijdstip($A80,J$8,J$11))+(0.75*L$18*FLOOR(L$20,0.05)*0.9*L$35*L$38*o_Isol_Bij_Tijdstip($A80,J$8,J$11)),0)</f>
        <v>0</v>
      </c>
      <c r="K80" s="196" t="s">
        <v>11</v>
      </c>
      <c r="L80" s="196"/>
      <c r="M80" s="196"/>
      <c r="N80" s="197" cm="1">
        <f t="array" ref="N80">IFERROR((0.75*N$18*FLOOR(N$20,0.05)*0.9*N$35*N$38*o_Isol_Bij_Tijdstip($A80,N$8,N$11))+(0.75*P$18*FLOOR(P$20,0.05)*0.9*P$35*P$38*o_Isol_Bij_Tijdstip($A80,N$8,N$11)),0)</f>
        <v>0</v>
      </c>
      <c r="O80" s="196" t="s">
        <v>11</v>
      </c>
      <c r="P80" s="196"/>
      <c r="Q80" s="196"/>
      <c r="R80" s="197" cm="1">
        <f t="array" ref="R80">IFERROR(IF(R$10="Nee",0,(0.75*R$18*FLOOR(R$20,0.05)*0.9*R$35*R$38*o_Isol_Bij_Tijdstip($A80,R$8,R$11))+(0.75*T$18*FLOOR(T$20,0.05)*0.9*T$35*T$38*o_Isol_Bij_Tijdstip($A80,R$8,R$11))),0)</f>
        <v>0</v>
      </c>
      <c r="S80" s="196" t="s">
        <v>11</v>
      </c>
      <c r="T80" s="197">
        <f t="shared" si="0"/>
        <v>0</v>
      </c>
      <c r="U80" s="196" t="s">
        <v>11</v>
      </c>
    </row>
    <row r="81" spans="1:21" hidden="1" x14ac:dyDescent="0.2">
      <c r="A81" s="201">
        <v>0.54166666666666696</v>
      </c>
      <c r="B81" s="197" cm="1">
        <f t="array" ref="B81">IFERROR((0.75*B$18*FLOOR(B$20,0.05)*0.9*B$35*B$38*o_Isol_Bij_Tijdstip($A81,B$8,B$11))+(0.75*D$18*FLOOR(D$20,0.05)*0.9*D$35*D$38*o_Isol_Bij_Tijdstip($A81,B$8,B$11)),0)</f>
        <v>0</v>
      </c>
      <c r="C81" s="196" t="s">
        <v>11</v>
      </c>
      <c r="D81" s="196">
        <v>29.7</v>
      </c>
      <c r="E81" s="196"/>
      <c r="F81" s="197" cm="1">
        <f t="array" ref="F81">IFERROR((0.75*F$18*FLOOR(F$20,0.05)*0.9*F$35*F$38*o_Isol_Bij_Tijdstip($A81,F$8,F$11))+(0.75*H$18*FLOOR(H$20,0.05)*0.9*H$35*H$38*o_Isol_Bij_Tijdstip($A81,F$8,F$11)),0)</f>
        <v>0</v>
      </c>
      <c r="G81" s="196" t="s">
        <v>11</v>
      </c>
      <c r="H81" s="196"/>
      <c r="I81" s="196"/>
      <c r="J81" s="197" cm="1">
        <f t="array" ref="J81">IFERROR((0.75*J$18*FLOOR(J$20,0.05)*0.9*J$35*J$38*o_Isol_Bij_Tijdstip($A81,J$8,J$11))+(0.75*L$18*FLOOR(L$20,0.05)*0.9*L$35*L$38*o_Isol_Bij_Tijdstip($A81,J$8,J$11)),0)</f>
        <v>0</v>
      </c>
      <c r="K81" s="196" t="s">
        <v>11</v>
      </c>
      <c r="L81" s="196"/>
      <c r="M81" s="196"/>
      <c r="N81" s="197" cm="1">
        <f t="array" ref="N81">IFERROR((0.75*N$18*FLOOR(N$20,0.05)*0.9*N$35*N$38*o_Isol_Bij_Tijdstip($A81,N$8,N$11))+(0.75*P$18*FLOOR(P$20,0.05)*0.9*P$35*P$38*o_Isol_Bij_Tijdstip($A81,N$8,N$11)),0)</f>
        <v>0</v>
      </c>
      <c r="O81" s="196" t="s">
        <v>11</v>
      </c>
      <c r="P81" s="196"/>
      <c r="Q81" s="196"/>
      <c r="R81" s="197" cm="1">
        <f t="array" ref="R81">IFERROR(IF(R$10="Nee",0,(0.75*R$18*FLOOR(R$20,0.05)*0.9*R$35*R$38*o_Isol_Bij_Tijdstip($A81,R$8,R$11))+(0.75*T$18*FLOOR(T$20,0.05)*0.9*T$35*T$38*o_Isol_Bij_Tijdstip($A81,R$8,R$11))),0)</f>
        <v>0</v>
      </c>
      <c r="S81" s="196" t="s">
        <v>11</v>
      </c>
      <c r="T81" s="197">
        <f t="shared" si="0"/>
        <v>0</v>
      </c>
      <c r="U81" s="196" t="s">
        <v>11</v>
      </c>
    </row>
    <row r="82" spans="1:21" hidden="1" x14ac:dyDescent="0.2">
      <c r="A82" s="201">
        <v>0.58333333333333404</v>
      </c>
      <c r="B82" s="197" cm="1">
        <f t="array" ref="B82">IFERROR((0.75*B$18*FLOOR(B$20,0.05)*0.9*B$35*B$38*o_Isol_Bij_Tijdstip($A82,B$8,B$11))+(0.75*D$18*FLOOR(D$20,0.05)*0.9*D$35*D$38*o_Isol_Bij_Tijdstip($A82,B$8,B$11)),0)</f>
        <v>0</v>
      </c>
      <c r="C82" s="196" t="s">
        <v>11</v>
      </c>
      <c r="D82" s="196">
        <v>29.9</v>
      </c>
      <c r="E82" s="196"/>
      <c r="F82" s="197" cm="1">
        <f t="array" ref="F82">IFERROR((0.75*F$18*FLOOR(F$20,0.05)*0.9*F$35*F$38*o_Isol_Bij_Tijdstip($A82,F$8,F$11))+(0.75*H$18*FLOOR(H$20,0.05)*0.9*H$35*H$38*o_Isol_Bij_Tijdstip($A82,F$8,F$11)),0)</f>
        <v>0</v>
      </c>
      <c r="G82" s="196" t="s">
        <v>11</v>
      </c>
      <c r="H82" s="196"/>
      <c r="I82" s="196"/>
      <c r="J82" s="197" cm="1">
        <f t="array" ref="J82">IFERROR((0.75*J$18*FLOOR(J$20,0.05)*0.9*J$35*J$38*o_Isol_Bij_Tijdstip($A82,J$8,J$11))+(0.75*L$18*FLOOR(L$20,0.05)*0.9*L$35*L$38*o_Isol_Bij_Tijdstip($A82,J$8,J$11)),0)</f>
        <v>0</v>
      </c>
      <c r="K82" s="196" t="s">
        <v>11</v>
      </c>
      <c r="L82" s="196"/>
      <c r="M82" s="196"/>
      <c r="N82" s="197" cm="1">
        <f t="array" ref="N82">IFERROR((0.75*N$18*FLOOR(N$20,0.05)*0.9*N$35*N$38*o_Isol_Bij_Tijdstip($A82,N$8,N$11))+(0.75*P$18*FLOOR(P$20,0.05)*0.9*P$35*P$38*o_Isol_Bij_Tijdstip($A82,N$8,N$11)),0)</f>
        <v>0</v>
      </c>
      <c r="O82" s="196" t="s">
        <v>11</v>
      </c>
      <c r="P82" s="196"/>
      <c r="Q82" s="196"/>
      <c r="R82" s="197" cm="1">
        <f t="array" ref="R82">IFERROR(IF(R$10="Nee",0,(0.75*R$18*FLOOR(R$20,0.05)*0.9*R$35*R$38*o_Isol_Bij_Tijdstip($A82,R$8,R$11))+(0.75*T$18*FLOOR(T$20,0.05)*0.9*T$35*T$38*o_Isol_Bij_Tijdstip($A82,R$8,R$11))),0)</f>
        <v>0</v>
      </c>
      <c r="S82" s="196" t="s">
        <v>11</v>
      </c>
      <c r="T82" s="197">
        <f t="shared" si="0"/>
        <v>0</v>
      </c>
      <c r="U82" s="196" t="s">
        <v>11</v>
      </c>
    </row>
    <row r="83" spans="1:21" hidden="1" x14ac:dyDescent="0.2">
      <c r="A83" s="201">
        <v>0.625000000000001</v>
      </c>
      <c r="B83" s="197" cm="1">
        <f t="array" ref="B83">IFERROR((0.75*B$18*FLOOR(B$20,0.05)*0.9*B$35*B$38*o_Isol_Bij_Tijdstip($A83,B$8,B$11))+(0.75*D$18*FLOOR(D$20,0.05)*0.9*D$35*D$38*o_Isol_Bij_Tijdstip($A83,B$8,B$11)),0)</f>
        <v>0</v>
      </c>
      <c r="C83" s="196" t="s">
        <v>11</v>
      </c>
      <c r="D83" s="196">
        <v>29.8</v>
      </c>
      <c r="E83" s="196"/>
      <c r="F83" s="197" cm="1">
        <f t="array" ref="F83">IFERROR((0.75*F$18*FLOOR(F$20,0.05)*0.9*F$35*F$38*o_Isol_Bij_Tijdstip($A83,F$8,F$11))+(0.75*H$18*FLOOR(H$20,0.05)*0.9*H$35*H$38*o_Isol_Bij_Tijdstip($A83,F$8,F$11)),0)</f>
        <v>0</v>
      </c>
      <c r="G83" s="196" t="s">
        <v>11</v>
      </c>
      <c r="H83" s="196"/>
      <c r="I83" s="196"/>
      <c r="J83" s="197" cm="1">
        <f t="array" ref="J83">IFERROR((0.75*J$18*FLOOR(J$20,0.05)*0.9*J$35*J$38*o_Isol_Bij_Tijdstip($A83,J$8,J$11))+(0.75*L$18*FLOOR(L$20,0.05)*0.9*L$35*L$38*o_Isol_Bij_Tijdstip($A83,J$8,J$11)),0)</f>
        <v>0</v>
      </c>
      <c r="K83" s="196" t="s">
        <v>11</v>
      </c>
      <c r="L83" s="196"/>
      <c r="M83" s="196"/>
      <c r="N83" s="197" cm="1">
        <f t="array" ref="N83">IFERROR((0.75*N$18*FLOOR(N$20,0.05)*0.9*N$35*N$38*o_Isol_Bij_Tijdstip($A83,N$8,N$11))+(0.75*P$18*FLOOR(P$20,0.05)*0.9*P$35*P$38*o_Isol_Bij_Tijdstip($A83,N$8,N$11)),0)</f>
        <v>0</v>
      </c>
      <c r="O83" s="196" t="s">
        <v>11</v>
      </c>
      <c r="P83" s="196"/>
      <c r="Q83" s="196"/>
      <c r="R83" s="197" cm="1">
        <f t="array" ref="R83">IFERROR(IF(R$10="Nee",0,(0.75*R$18*FLOOR(R$20,0.05)*0.9*R$35*R$38*o_Isol_Bij_Tijdstip($A83,R$8,R$11))+(0.75*T$18*FLOOR(T$20,0.05)*0.9*T$35*T$38*o_Isol_Bij_Tijdstip($A83,R$8,R$11))),0)</f>
        <v>0</v>
      </c>
      <c r="S83" s="196" t="s">
        <v>11</v>
      </c>
      <c r="T83" s="197">
        <f t="shared" si="0"/>
        <v>0</v>
      </c>
      <c r="U83" s="196" t="s">
        <v>11</v>
      </c>
    </row>
    <row r="84" spans="1:21" hidden="1" x14ac:dyDescent="0.2">
      <c r="A84" s="201">
        <v>0.66666666666666796</v>
      </c>
      <c r="B84" s="197" cm="1">
        <f t="array" ref="B84">IFERROR((0.75*B$18*FLOOR(B$20,0.05)*0.9*B$35*B$38*o_Isol_Bij_Tijdstip($A84,B$8,B$11))+(0.75*D$18*FLOOR(D$20,0.05)*0.9*D$35*D$38*o_Isol_Bij_Tijdstip($A84,B$8,B$11)),0)</f>
        <v>0</v>
      </c>
      <c r="C84" s="196" t="s">
        <v>11</v>
      </c>
      <c r="D84" s="196">
        <v>30.4</v>
      </c>
      <c r="E84" s="196"/>
      <c r="F84" s="197" cm="1">
        <f t="array" ref="F84">IFERROR((0.75*F$18*FLOOR(F$20,0.05)*0.9*F$35*F$38*o_Isol_Bij_Tijdstip($A84,F$8,F$11))+(0.75*H$18*FLOOR(H$20,0.05)*0.9*H$35*H$38*o_Isol_Bij_Tijdstip($A84,F$8,F$11)),0)</f>
        <v>0</v>
      </c>
      <c r="G84" s="196" t="s">
        <v>11</v>
      </c>
      <c r="H84" s="196"/>
      <c r="I84" s="196"/>
      <c r="J84" s="197" cm="1">
        <f t="array" ref="J84">IFERROR((0.75*J$18*FLOOR(J$20,0.05)*0.9*J$35*J$38*o_Isol_Bij_Tijdstip($A84,J$8,J$11))+(0.75*L$18*FLOOR(L$20,0.05)*0.9*L$35*L$38*o_Isol_Bij_Tijdstip($A84,J$8,J$11)),0)</f>
        <v>0</v>
      </c>
      <c r="K84" s="196" t="s">
        <v>11</v>
      </c>
      <c r="L84" s="196"/>
      <c r="M84" s="196"/>
      <c r="N84" s="197" cm="1">
        <f t="array" ref="N84">IFERROR((0.75*N$18*FLOOR(N$20,0.05)*0.9*N$35*N$38*o_Isol_Bij_Tijdstip($A84,N$8,N$11))+(0.75*P$18*FLOOR(P$20,0.05)*0.9*P$35*P$38*o_Isol_Bij_Tijdstip($A84,N$8,N$11)),0)</f>
        <v>0</v>
      </c>
      <c r="O84" s="196" t="s">
        <v>11</v>
      </c>
      <c r="P84" s="196"/>
      <c r="Q84" s="196"/>
      <c r="R84" s="197" cm="1">
        <f t="array" ref="R84">IFERROR(IF(R$10="Nee",0,(0.75*R$18*FLOOR(R$20,0.05)*0.9*R$35*R$38*o_Isol_Bij_Tijdstip($A84,R$8,R$11))+(0.75*T$18*FLOOR(T$20,0.05)*0.9*T$35*T$38*o_Isol_Bij_Tijdstip($A84,R$8,R$11))),0)</f>
        <v>0</v>
      </c>
      <c r="S84" s="196" t="s">
        <v>11</v>
      </c>
      <c r="T84" s="197">
        <f t="shared" si="0"/>
        <v>0</v>
      </c>
      <c r="U84" s="196" t="s">
        <v>11</v>
      </c>
    </row>
    <row r="85" spans="1:21" hidden="1" x14ac:dyDescent="0.2">
      <c r="A85" s="201">
        <v>0.70833333333333504</v>
      </c>
      <c r="B85" s="197" cm="1">
        <f t="array" ref="B85">IFERROR((0.75*B$18*FLOOR(B$20,0.05)*0.9*B$35*B$38*o_Isol_Bij_Tijdstip($A85,B$8,B$11))+(0.75*D$18*FLOOR(D$20,0.05)*0.9*D$35*D$38*o_Isol_Bij_Tijdstip($A85,B$8,B$11)),0)</f>
        <v>0</v>
      </c>
      <c r="C85" s="196" t="s">
        <v>11</v>
      </c>
      <c r="D85" s="196">
        <v>30.6</v>
      </c>
      <c r="E85" s="196"/>
      <c r="F85" s="197" cm="1">
        <f t="array" ref="F85">IFERROR((0.75*F$18*FLOOR(F$20,0.05)*0.9*F$35*F$38*o_Isol_Bij_Tijdstip($A85,F$8,F$11))+(0.75*H$18*FLOOR(H$20,0.05)*0.9*H$35*H$38*o_Isol_Bij_Tijdstip($A85,F$8,F$11)),0)</f>
        <v>0</v>
      </c>
      <c r="G85" s="196" t="s">
        <v>11</v>
      </c>
      <c r="H85" s="196"/>
      <c r="I85" s="196"/>
      <c r="J85" s="197" cm="1">
        <f t="array" ref="J85">IFERROR((0.75*J$18*FLOOR(J$20,0.05)*0.9*J$35*J$38*o_Isol_Bij_Tijdstip($A85,J$8,J$11))+(0.75*L$18*FLOOR(L$20,0.05)*0.9*L$35*L$38*o_Isol_Bij_Tijdstip($A85,J$8,J$11)),0)</f>
        <v>0</v>
      </c>
      <c r="K85" s="196" t="s">
        <v>11</v>
      </c>
      <c r="L85" s="196"/>
      <c r="M85" s="196"/>
      <c r="N85" s="197" cm="1">
        <f t="array" ref="N85">IFERROR((0.75*N$18*FLOOR(N$20,0.05)*0.9*N$35*N$38*o_Isol_Bij_Tijdstip($A85,N$8,N$11))+(0.75*P$18*FLOOR(P$20,0.05)*0.9*P$35*P$38*o_Isol_Bij_Tijdstip($A85,N$8,N$11)),0)</f>
        <v>0</v>
      </c>
      <c r="O85" s="196" t="s">
        <v>11</v>
      </c>
      <c r="P85" s="196"/>
      <c r="Q85" s="196"/>
      <c r="R85" s="197" cm="1">
        <f t="array" ref="R85">IFERROR(IF(R$10="Nee",0,(0.75*R$18*FLOOR(R$20,0.05)*0.9*R$35*R$38*o_Isol_Bij_Tijdstip($A85,R$8,R$11))+(0.75*T$18*FLOOR(T$20,0.05)*0.9*T$35*T$38*o_Isol_Bij_Tijdstip($A85,R$8,R$11))),0)</f>
        <v>0</v>
      </c>
      <c r="S85" s="196" t="s">
        <v>11</v>
      </c>
      <c r="T85" s="197">
        <f t="shared" si="0"/>
        <v>0</v>
      </c>
      <c r="U85" s="196" t="s">
        <v>11</v>
      </c>
    </row>
    <row r="86" spans="1:21" hidden="1" x14ac:dyDescent="0.2">
      <c r="A86" s="201">
        <v>0.750000000000002</v>
      </c>
      <c r="B86" s="197" cm="1">
        <f t="array" ref="B86">IFERROR((0.75*B$18*FLOOR(B$20,0.05)*0.9*B$35*B$38*o_Isol_Bij_Tijdstip($A86,B$8,B$11))+(0.75*D$18*FLOOR(D$20,0.05)*0.9*D$35*D$38*o_Isol_Bij_Tijdstip($A86,B$8,B$11)),0)</f>
        <v>0</v>
      </c>
      <c r="C86" s="196" t="s">
        <v>11</v>
      </c>
      <c r="D86" s="196">
        <v>30.1</v>
      </c>
      <c r="E86" s="196"/>
      <c r="F86" s="197" cm="1">
        <f t="array" ref="F86">IFERROR((0.75*F$18*FLOOR(F$20,0.05)*0.9*F$35*F$38*o_Isol_Bij_Tijdstip($A86,F$8,F$11))+(0.75*H$18*FLOOR(H$20,0.05)*0.9*H$35*H$38*o_Isol_Bij_Tijdstip($A86,F$8,F$11)),0)</f>
        <v>0</v>
      </c>
      <c r="G86" s="196" t="s">
        <v>11</v>
      </c>
      <c r="H86" s="196"/>
      <c r="I86" s="196"/>
      <c r="J86" s="197" cm="1">
        <f t="array" ref="J86">IFERROR((0.75*J$18*FLOOR(J$20,0.05)*0.9*J$35*J$38*o_Isol_Bij_Tijdstip($A86,J$8,J$11))+(0.75*L$18*FLOOR(L$20,0.05)*0.9*L$35*L$38*o_Isol_Bij_Tijdstip($A86,J$8,J$11)),0)</f>
        <v>0</v>
      </c>
      <c r="K86" s="196" t="s">
        <v>11</v>
      </c>
      <c r="L86" s="196"/>
      <c r="M86" s="196"/>
      <c r="N86" s="197" cm="1">
        <f t="array" ref="N86">IFERROR((0.75*N$18*FLOOR(N$20,0.05)*0.9*N$35*N$38*o_Isol_Bij_Tijdstip($A86,N$8,N$11))+(0.75*P$18*FLOOR(P$20,0.05)*0.9*P$35*P$38*o_Isol_Bij_Tijdstip($A86,N$8,N$11)),0)</f>
        <v>0</v>
      </c>
      <c r="O86" s="196" t="s">
        <v>11</v>
      </c>
      <c r="P86" s="196"/>
      <c r="Q86" s="196"/>
      <c r="R86" s="197" cm="1">
        <f t="array" ref="R86">IFERROR(IF(R$10="Nee",0,(0.75*R$18*FLOOR(R$20,0.05)*0.9*R$35*R$38*o_Isol_Bij_Tijdstip($A86,R$8,R$11))+(0.75*T$18*FLOOR(T$20,0.05)*0.9*T$35*T$38*o_Isol_Bij_Tijdstip($A86,R$8,R$11))),0)</f>
        <v>0</v>
      </c>
      <c r="S86" s="196" t="s">
        <v>11</v>
      </c>
      <c r="T86" s="197">
        <f t="shared" si="0"/>
        <v>0</v>
      </c>
      <c r="U86" s="196" t="s">
        <v>11</v>
      </c>
    </row>
    <row r="87" spans="1:21" hidden="1" x14ac:dyDescent="0.2">
      <c r="A87" s="201"/>
      <c r="B87" s="196"/>
      <c r="C87" s="196"/>
      <c r="D87" s="196"/>
      <c r="E87" s="196"/>
      <c r="F87" s="196"/>
      <c r="G87" s="196"/>
      <c r="H87" s="196"/>
      <c r="I87" s="196"/>
      <c r="J87" s="196"/>
      <c r="K87" s="196"/>
      <c r="L87" s="196"/>
      <c r="M87" s="196"/>
      <c r="N87" s="196"/>
      <c r="O87" s="196"/>
      <c r="P87" s="196"/>
      <c r="Q87" s="196"/>
      <c r="R87" s="196"/>
      <c r="S87" s="196"/>
      <c r="T87" s="196"/>
      <c r="U87" s="196"/>
    </row>
    <row r="88" spans="1:21" hidden="1" x14ac:dyDescent="0.2">
      <c r="A88" s="196" t="s">
        <v>151</v>
      </c>
      <c r="B88" s="200" t="str">
        <f>IF(MAX(T77:T86)=0,"Geen glas aanwezig",_xlfn.XLOOKUP(MAX(T77:T86),T77:T86,A77:A86,"nvt"))</f>
        <v>Geen glas aanwezig</v>
      </c>
      <c r="C88" s="196"/>
      <c r="D88" s="196"/>
      <c r="E88" s="196"/>
      <c r="F88" s="196"/>
      <c r="G88" s="196"/>
      <c r="H88" s="196"/>
      <c r="I88" s="196"/>
      <c r="J88" s="196"/>
      <c r="K88" s="196"/>
      <c r="L88" s="196"/>
      <c r="M88" s="196"/>
      <c r="N88" s="196"/>
      <c r="O88" s="196"/>
      <c r="P88" s="196"/>
      <c r="Q88" s="196"/>
      <c r="R88" s="196"/>
      <c r="S88" s="196"/>
      <c r="T88" s="196"/>
      <c r="U88" s="196"/>
    </row>
    <row r="89" spans="1:21" hidden="1" x14ac:dyDescent="0.2"/>
    <row r="90" spans="1:21" hidden="1" x14ac:dyDescent="0.2"/>
    <row r="91" spans="1:21" hidden="1" x14ac:dyDescent="0.2"/>
    <row r="92" spans="1:21" hidden="1" x14ac:dyDescent="0.2"/>
    <row r="93" spans="1:21" hidden="1" x14ac:dyDescent="0.2"/>
    <row r="94" spans="1:21" hidden="1" x14ac:dyDescent="0.2"/>
    <row r="95" spans="1:21" hidden="1" x14ac:dyDescent="0.2"/>
  </sheetData>
  <sheetProtection algorithmName="SHA-512" hashValue="Zk7kkaJ1bo35XEyJsTJEb0OdxjMWX9zIUW+HGMGfaF4QUOQ7s1ia2gVgRgvVu8Cfw6Rlia4WwL//a6GD/IrUUA==" saltValue="EC9PpzAy3Iu0WgcfVHXmqA==" spinCount="100000" sheet="1" objects="1" scenarios="1" selectLockedCells="1"/>
  <mergeCells count="41">
    <mergeCell ref="B60:D60"/>
    <mergeCell ref="B61:D61"/>
    <mergeCell ref="B63:D63"/>
    <mergeCell ref="B64:D64"/>
    <mergeCell ref="B57:D57"/>
    <mergeCell ref="F57:H57"/>
    <mergeCell ref="J57:L57"/>
    <mergeCell ref="N57:P57"/>
    <mergeCell ref="R57:T57"/>
    <mergeCell ref="B58:D58"/>
    <mergeCell ref="F58:H58"/>
    <mergeCell ref="J58:L58"/>
    <mergeCell ref="N58:P58"/>
    <mergeCell ref="R58:T58"/>
    <mergeCell ref="R41:T41"/>
    <mergeCell ref="B56:D56"/>
    <mergeCell ref="F56:H56"/>
    <mergeCell ref="J56:L56"/>
    <mergeCell ref="N56:P56"/>
    <mergeCell ref="R56:T56"/>
    <mergeCell ref="B55:D55"/>
    <mergeCell ref="F55:H55"/>
    <mergeCell ref="J55:L55"/>
    <mergeCell ref="N55:P55"/>
    <mergeCell ref="R55:T55"/>
    <mergeCell ref="A71:U72"/>
    <mergeCell ref="A1:U1"/>
    <mergeCell ref="B7:D7"/>
    <mergeCell ref="F7:H7"/>
    <mergeCell ref="J7:L7"/>
    <mergeCell ref="N7:P7"/>
    <mergeCell ref="R7:U7"/>
    <mergeCell ref="B42:D42"/>
    <mergeCell ref="F42:H42"/>
    <mergeCell ref="J42:L42"/>
    <mergeCell ref="N42:P42"/>
    <mergeCell ref="R42:T42"/>
    <mergeCell ref="B41:D41"/>
    <mergeCell ref="F41:H41"/>
    <mergeCell ref="J41:L41"/>
    <mergeCell ref="N41:P41"/>
  </mergeCells>
  <conditionalFormatting sqref="B77:B86">
    <cfRule type="colorScale" priority="6">
      <colorScale>
        <cfvo type="min"/>
        <cfvo type="percentile" val="50"/>
        <cfvo type="max"/>
        <color rgb="FF61D6FF"/>
        <color rgb="FFFFD85D"/>
        <color rgb="FFFF6D6D"/>
      </colorScale>
    </cfRule>
  </conditionalFormatting>
  <conditionalFormatting sqref="T77:T86">
    <cfRule type="colorScale" priority="5">
      <colorScale>
        <cfvo type="min"/>
        <cfvo type="percentile" val="50"/>
        <cfvo type="max"/>
        <color rgb="FF61D6FF"/>
        <color rgb="FFFFD85D"/>
        <color rgb="FFFF6D6D"/>
      </colorScale>
    </cfRule>
  </conditionalFormatting>
  <conditionalFormatting sqref="F77:F86">
    <cfRule type="colorScale" priority="4">
      <colorScale>
        <cfvo type="min"/>
        <cfvo type="percentile" val="50"/>
        <cfvo type="max"/>
        <color rgb="FF61D6FF"/>
        <color rgb="FFFFD85D"/>
        <color rgb="FFFF6D6D"/>
      </colorScale>
    </cfRule>
  </conditionalFormatting>
  <conditionalFormatting sqref="J77:J86">
    <cfRule type="colorScale" priority="3">
      <colorScale>
        <cfvo type="min"/>
        <cfvo type="percentile" val="50"/>
        <cfvo type="max"/>
        <color rgb="FF61D6FF"/>
        <color rgb="FFFFD85D"/>
        <color rgb="FFFF6D6D"/>
      </colorScale>
    </cfRule>
  </conditionalFormatting>
  <conditionalFormatting sqref="N77:N86">
    <cfRule type="colorScale" priority="2">
      <colorScale>
        <cfvo type="min"/>
        <cfvo type="percentile" val="50"/>
        <cfvo type="max"/>
        <color rgb="FF61D6FF"/>
        <color rgb="FFFFD85D"/>
        <color rgb="FFFF6D6D"/>
      </colorScale>
    </cfRule>
  </conditionalFormatting>
  <conditionalFormatting sqref="R77:R86">
    <cfRule type="colorScale" priority="1">
      <colorScale>
        <cfvo type="min"/>
        <cfvo type="percentile" val="50"/>
        <cfvo type="max"/>
        <color rgb="FF61D6FF"/>
        <color rgb="FFFFD85D"/>
        <color rgb="FFFF6D6D"/>
      </colorScale>
    </cfRule>
  </conditionalFormatting>
  <dataValidations count="5">
    <dataValidation type="list" allowBlank="1" showInputMessage="1" showErrorMessage="1" sqref="B4" xr:uid="{00C2B793-19D1-4418-88F5-F2E081712075}">
      <formula1>"Woonvertrek, Andere verblijfsruimte"</formula1>
    </dataValidation>
    <dataValidation type="list" allowBlank="1" showInputMessage="1" showErrorMessage="1" sqref="P30 L30 D30 N30 H30 F30 J30 B30" xr:uid="{D59250DE-B33F-4D47-8A6A-6F780B02F647}">
      <formula1>"Links,Rechts,Beide zijden"</formula1>
    </dataValidation>
    <dataValidation type="whole" allowBlank="1" showErrorMessage="1" error="Een platdak heeft een helling van maximaal 15°, voor daken in bij gevels op de juiste orientatie" sqref="R11" xr:uid="{924B3B91-6B43-4B76-9212-375DC9CD5836}">
      <formula1>0</formula1>
      <formula2>15</formula2>
    </dataValidation>
    <dataValidation type="whole" allowBlank="1" showErrorMessage="1" error="Een helling &lt; 15° is en platdak voer deze bij kolom R in. _x000a_90° is de maximale invoerwaarde" sqref="H11 D11 L10:L11 B11 F11 J11 K8:M9 O8:Q10 T11 N11 K10 M10 P11:P12 Q11:Q16 P15:P16" xr:uid="{1F86F57D-2F29-4A86-B828-7F52801BB7AB}">
      <formula1>15</formula1>
      <formula2>90</formula2>
    </dataValidation>
    <dataValidation type="list" allowBlank="1" showInputMessage="1" showErrorMessage="1" sqref="B10 N10 F10 J10 R10" xr:uid="{B99AFA6D-950A-4D99-AA83-53CE541BA4F9}">
      <formula1>"Nee,Ja"</formula1>
    </dataValidation>
  </dataValidations>
  <pageMargins left="0.23622047244094491" right="0.23622047244094491" top="0.74803149606299213" bottom="0.74803149606299213" header="0.31496062992125984" footer="0.31496062992125984"/>
  <pageSetup paperSize="9" scale="48" orientation="landscape" r:id="rId1"/>
  <headerFooter alignWithMargins="0">
    <oddHeader>&amp;CREKENTOOL VEREENVOUDIGDE BEPALINGSMETHODE KOELBEHOEFTE (BIJLAGE AA - VERSIE 2025 -NTA 8800)&amp;Rversie 2025.04 d.d. 09-04-2025</oddHeader>
    <oddFooter>&amp;LPrint datum:&amp;D &amp;T_x000D_&amp;1#&amp;"Calibri"&amp;10&amp;K000000 Intern gebruik&amp;C&amp;F&amp;R&amp;P van &amp;N</oddFooter>
  </headerFooter>
  <drawing r:id="rId2"/>
  <legacyDrawing r:id="rId3"/>
  <controls>
    <mc:AlternateContent xmlns:mc="http://schemas.openxmlformats.org/markup-compatibility/2006">
      <mc:Choice Requires="x14">
        <control shapeId="17423" r:id="rId4" name="CommandButton1">
          <controlPr defaultSize="0" autoLine="0" r:id="rId5">
            <anchor moveWithCells="1">
              <from>
                <xdr:col>3</xdr:col>
                <xdr:colOff>209550</xdr:colOff>
                <xdr:row>1</xdr:row>
                <xdr:rowOff>133350</xdr:rowOff>
              </from>
              <to>
                <xdr:col>5</xdr:col>
                <xdr:colOff>38100</xdr:colOff>
                <xdr:row>4</xdr:row>
                <xdr:rowOff>9525</xdr:rowOff>
              </to>
            </anchor>
          </controlPr>
        </control>
      </mc:Choice>
      <mc:Fallback>
        <control shapeId="17423" r:id="rId4" name="CommandButton1"/>
      </mc:Fallback>
    </mc:AlternateContent>
  </controls>
  <extLst>
    <ext xmlns:x14="http://schemas.microsoft.com/office/spreadsheetml/2009/9/main" uri="{CCE6A557-97BC-4b89-ADB6-D9C93CAAB3DF}">
      <x14:dataValidations xmlns:xm="http://schemas.microsoft.com/office/excel/2006/main" count="5">
        <x14:dataValidation type="list" allowBlank="1" showInputMessage="1" showErrorMessage="1" xr:uid="{69F70AC1-088F-4550-A075-057AE9DED5A6}">
          <x14:formula1>
            <xm:f>Tabellen!$A$42:$A$49</xm:f>
          </x14:formula1>
          <xm:sqref>F8 J8 N8</xm:sqref>
        </x14:dataValidation>
        <x14:dataValidation type="list" allowBlank="1" showInputMessage="1" showErrorMessage="1" xr:uid="{57344DC9-C5F8-4D66-A748-79801D4A13D1}">
          <x14:formula1>
            <xm:f>Tabellen!$A$103:$A$108</xm:f>
          </x14:formula1>
          <xm:sqref>L21 H21 B21 D21 N21 F21 P21 J21</xm:sqref>
        </x14:dataValidation>
        <x14:dataValidation type="list" allowBlank="1" showInputMessage="1" showErrorMessage="1" xr:uid="{FAB106F5-C61C-4DFD-95BB-5A166EAEF83C}">
          <x14:formula1>
            <xm:f>Tabellen!$A$111:$A$113</xm:f>
          </x14:formula1>
          <xm:sqref>R21 T21</xm:sqref>
        </x14:dataValidation>
        <x14:dataValidation type="list" allowBlank="1" showInputMessage="1" showErrorMessage="1" xr:uid="{EB14FFBD-AAA9-4F55-826C-914BE9E2B6FE}">
          <x14:formula1>
            <xm:f>Tabellen!$A$85:$A$99</xm:f>
          </x14:formula1>
          <xm:sqref>P37 N37 D37 B37 H37 L37 F37 J37</xm:sqref>
        </x14:dataValidation>
        <x14:dataValidation type="list" allowBlank="1" showInputMessage="1" showErrorMessage="1" xr:uid="{AA1F765B-0658-447D-B07F-B03FE21A1114}">
          <x14:formula1>
            <xm:f>Tabellen!$A$85:$A$97</xm:f>
          </x14:formula1>
          <xm:sqref>R37 T37</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84317-0AB1-48FA-A176-5318D392C134}">
  <sheetPr codeName="Blad18">
    <pageSetUpPr fitToPage="1"/>
  </sheetPr>
  <dimension ref="A1:U95"/>
  <sheetViews>
    <sheetView showGridLines="0" zoomScale="90" zoomScaleNormal="90" workbookViewId="0">
      <selection activeCell="B3" sqref="B3"/>
    </sheetView>
  </sheetViews>
  <sheetFormatPr defaultColWidth="9.140625" defaultRowHeight="12" x14ac:dyDescent="0.2"/>
  <cols>
    <col min="1" max="1" width="49.7109375" style="202" bestFit="1" customWidth="1"/>
    <col min="2" max="2" width="18.28515625" style="202" customWidth="1"/>
    <col min="3" max="3" width="6.28515625" style="202" bestFit="1" customWidth="1"/>
    <col min="4" max="4" width="18.28515625" style="202" customWidth="1"/>
    <col min="5" max="5" width="6.28515625" style="202" bestFit="1" customWidth="1"/>
    <col min="6" max="6" width="18.28515625" style="202" customWidth="1"/>
    <col min="7" max="7" width="6.28515625" style="202" bestFit="1" customWidth="1"/>
    <col min="8" max="8" width="18.28515625" style="202" customWidth="1"/>
    <col min="9" max="9" width="6.28515625" style="202" bestFit="1" customWidth="1"/>
    <col min="10" max="10" width="18.28515625" style="202" customWidth="1"/>
    <col min="11" max="11" width="6.28515625" style="202" bestFit="1" customWidth="1"/>
    <col min="12" max="12" width="18.28515625" style="202" customWidth="1"/>
    <col min="13" max="13" width="6.28515625" style="202" bestFit="1" customWidth="1"/>
    <col min="14" max="14" width="18.28515625" style="202" customWidth="1"/>
    <col min="15" max="15" width="6.28515625" style="202" bestFit="1" customWidth="1"/>
    <col min="16" max="16" width="18.28515625" style="202" customWidth="1"/>
    <col min="17" max="17" width="6.28515625" style="202" bestFit="1" customWidth="1"/>
    <col min="18" max="18" width="18.28515625" style="202" customWidth="1"/>
    <col min="19" max="19" width="6.28515625" style="202" bestFit="1" customWidth="1"/>
    <col min="20" max="20" width="18.28515625" style="194" customWidth="1"/>
    <col min="21" max="21" width="6.7109375" style="194" bestFit="1" customWidth="1"/>
    <col min="22" max="16384" width="9.140625" style="194"/>
  </cols>
  <sheetData>
    <row r="1" spans="1:21" s="192" customFormat="1" ht="24" customHeight="1" x14ac:dyDescent="0.2">
      <c r="A1" s="251" t="s">
        <v>213</v>
      </c>
      <c r="B1" s="251"/>
      <c r="C1" s="251"/>
      <c r="D1" s="251"/>
      <c r="E1" s="251"/>
      <c r="F1" s="251"/>
      <c r="G1" s="251"/>
      <c r="H1" s="251"/>
      <c r="I1" s="251"/>
      <c r="J1" s="251"/>
      <c r="K1" s="251"/>
      <c r="L1" s="251"/>
      <c r="M1" s="251"/>
      <c r="N1" s="251"/>
      <c r="O1" s="251"/>
      <c r="P1" s="251"/>
      <c r="Q1" s="251"/>
      <c r="R1" s="251"/>
      <c r="S1" s="251"/>
      <c r="T1" s="251"/>
      <c r="U1" s="251"/>
    </row>
    <row r="2" spans="1:21" s="193" customFormat="1" ht="12" customHeight="1" x14ac:dyDescent="0.2">
      <c r="A2" s="65"/>
      <c r="B2" s="75"/>
      <c r="C2" s="75"/>
      <c r="D2" s="75"/>
      <c r="E2" s="75"/>
      <c r="F2" s="75"/>
      <c r="G2" s="75"/>
      <c r="H2" s="75"/>
      <c r="I2" s="75"/>
      <c r="J2" s="75"/>
      <c r="K2" s="75"/>
      <c r="L2" s="75"/>
      <c r="M2" s="75"/>
      <c r="N2" s="75"/>
      <c r="O2" s="75"/>
      <c r="P2" s="75"/>
      <c r="Q2" s="75"/>
      <c r="R2" s="35"/>
      <c r="S2" s="35"/>
      <c r="T2" s="35"/>
      <c r="U2" s="35"/>
    </row>
    <row r="3" spans="1:21" ht="12" customHeight="1" x14ac:dyDescent="0.2">
      <c r="A3" s="36" t="s">
        <v>107</v>
      </c>
      <c r="B3" s="221"/>
      <c r="C3" s="75"/>
      <c r="D3" s="75"/>
      <c r="E3" s="75"/>
      <c r="F3" s="35"/>
      <c r="G3" s="75"/>
      <c r="H3" s="75"/>
      <c r="I3" s="75"/>
      <c r="J3" s="75"/>
      <c r="K3" s="75"/>
      <c r="L3" s="75"/>
      <c r="M3" s="75"/>
      <c r="N3" s="75"/>
      <c r="O3" s="75"/>
      <c r="P3" s="75"/>
      <c r="Q3" s="75"/>
      <c r="R3" s="35"/>
      <c r="S3" s="35"/>
      <c r="T3" s="35"/>
      <c r="U3" s="35"/>
    </row>
    <row r="4" spans="1:21" ht="12" customHeight="1" x14ac:dyDescent="0.2">
      <c r="A4" s="36" t="s">
        <v>191</v>
      </c>
      <c r="B4" s="33" t="s">
        <v>195</v>
      </c>
      <c r="C4" s="75"/>
      <c r="D4" s="75"/>
      <c r="E4" s="75"/>
      <c r="F4" s="35"/>
      <c r="G4" s="75"/>
      <c r="H4" s="75"/>
      <c r="I4" s="75"/>
      <c r="J4" s="75"/>
      <c r="K4" s="75"/>
      <c r="L4" s="75"/>
      <c r="M4" s="75"/>
      <c r="N4" s="75"/>
      <c r="O4" s="75"/>
      <c r="P4" s="75"/>
      <c r="Q4" s="75"/>
      <c r="R4" s="35"/>
      <c r="S4" s="35"/>
      <c r="T4" s="35"/>
      <c r="U4" s="35"/>
    </row>
    <row r="5" spans="1:21" ht="12" customHeight="1" x14ac:dyDescent="0.25">
      <c r="A5" s="39" t="s">
        <v>180</v>
      </c>
      <c r="B5" s="34">
        <v>0</v>
      </c>
      <c r="C5" s="36" t="s">
        <v>0</v>
      </c>
      <c r="D5" s="75"/>
      <c r="E5" s="75"/>
      <c r="F5" s="35"/>
      <c r="G5" s="75"/>
      <c r="H5" s="75"/>
      <c r="I5" s="75"/>
      <c r="J5" s="75"/>
      <c r="K5" s="75"/>
      <c r="L5" s="75"/>
      <c r="M5" s="75"/>
      <c r="N5" s="75"/>
      <c r="O5" s="75"/>
      <c r="P5" s="75"/>
      <c r="Q5" s="75"/>
      <c r="R5" s="35"/>
      <c r="S5" s="35"/>
      <c r="T5" s="35"/>
      <c r="U5" s="35"/>
    </row>
    <row r="6" spans="1:21" s="195" customFormat="1" ht="12" customHeight="1" x14ac:dyDescent="0.2">
      <c r="A6" s="75"/>
      <c r="B6" s="75"/>
      <c r="C6" s="75"/>
      <c r="D6" s="75"/>
      <c r="E6" s="75"/>
      <c r="F6" s="75"/>
      <c r="G6" s="75"/>
      <c r="H6" s="75"/>
      <c r="I6" s="75"/>
      <c r="J6" s="75"/>
      <c r="K6" s="75"/>
      <c r="L6" s="75"/>
      <c r="M6" s="75"/>
      <c r="N6" s="75"/>
      <c r="O6" s="75"/>
      <c r="P6" s="75"/>
      <c r="Q6" s="75"/>
      <c r="R6" s="75"/>
      <c r="S6" s="35"/>
      <c r="T6" s="35"/>
      <c r="U6" s="35"/>
    </row>
    <row r="7" spans="1:21" s="193" customFormat="1" ht="12" customHeight="1" x14ac:dyDescent="0.2">
      <c r="A7" s="65"/>
      <c r="B7" s="237" t="s">
        <v>181</v>
      </c>
      <c r="C7" s="237"/>
      <c r="D7" s="237"/>
      <c r="E7" s="76"/>
      <c r="F7" s="238" t="s">
        <v>182</v>
      </c>
      <c r="G7" s="237"/>
      <c r="H7" s="237"/>
      <c r="I7" s="76"/>
      <c r="J7" s="237" t="s">
        <v>183</v>
      </c>
      <c r="K7" s="237"/>
      <c r="L7" s="237"/>
      <c r="M7" s="76"/>
      <c r="N7" s="237" t="s">
        <v>184</v>
      </c>
      <c r="O7" s="237"/>
      <c r="P7" s="237"/>
      <c r="Q7" s="76"/>
      <c r="R7" s="238" t="s">
        <v>5</v>
      </c>
      <c r="S7" s="238"/>
      <c r="T7" s="238"/>
      <c r="U7" s="238"/>
    </row>
    <row r="8" spans="1:21" s="195" customFormat="1" ht="12" customHeight="1" x14ac:dyDescent="0.2">
      <c r="A8" s="72" t="s">
        <v>129</v>
      </c>
      <c r="B8" s="77">
        <f>'Projectgegevens en Resultaten'!$B$17</f>
        <v>0</v>
      </c>
      <c r="C8" s="183"/>
      <c r="D8" s="183"/>
      <c r="E8" s="183"/>
      <c r="F8" s="184" t="str">
        <f>o_Orientatie(F9)</f>
        <v>Oost</v>
      </c>
      <c r="G8" s="183"/>
      <c r="H8" s="183"/>
      <c r="I8" s="183"/>
      <c r="J8" s="184" t="str">
        <f>o_Orientatie(J9)</f>
        <v>Zuid</v>
      </c>
      <c r="K8" s="185"/>
      <c r="L8" s="185"/>
      <c r="M8" s="185"/>
      <c r="N8" s="184" t="str">
        <f>o_Orientatie(N9)</f>
        <v>West</v>
      </c>
      <c r="O8" s="185"/>
      <c r="P8" s="185"/>
      <c r="Q8" s="185"/>
      <c r="R8" s="186" t="s">
        <v>62</v>
      </c>
      <c r="S8" s="79"/>
      <c r="T8" s="78"/>
      <c r="U8" s="78"/>
    </row>
    <row r="9" spans="1:21" ht="12" hidden="1" customHeight="1" x14ac:dyDescent="0.2">
      <c r="A9" s="70" t="s">
        <v>132</v>
      </c>
      <c r="B9" s="80" cm="1">
        <f t="array" ref="B9">o_OrientatiehOEK(B8)</f>
        <v>0</v>
      </c>
      <c r="C9" s="187"/>
      <c r="D9" s="187"/>
      <c r="E9" s="187"/>
      <c r="F9" s="80">
        <f>IF(B9+90&gt;360,B9+90-360,B9+90)</f>
        <v>90</v>
      </c>
      <c r="G9" s="188"/>
      <c r="H9" s="188"/>
      <c r="I9" s="188"/>
      <c r="J9" s="80">
        <f>IF(F9+90&gt;360,F9+90-360,F9+90)</f>
        <v>180</v>
      </c>
      <c r="K9" s="185"/>
      <c r="L9" s="185"/>
      <c r="M9" s="185"/>
      <c r="N9" s="80">
        <f>IF(J9+90&gt;360,J9+90-360,J9+90)</f>
        <v>270</v>
      </c>
      <c r="O9" s="185"/>
      <c r="P9" s="185"/>
      <c r="Q9" s="185"/>
      <c r="R9" s="188"/>
      <c r="S9" s="79"/>
      <c r="T9" s="104"/>
      <c r="U9" s="104"/>
    </row>
    <row r="10" spans="1:21" s="195" customFormat="1" x14ac:dyDescent="0.2">
      <c r="A10" s="70" t="s">
        <v>102</v>
      </c>
      <c r="B10" s="44" t="s">
        <v>101</v>
      </c>
      <c r="C10" s="187"/>
      <c r="D10" s="187"/>
      <c r="E10" s="187"/>
      <c r="F10" s="44" t="s">
        <v>101</v>
      </c>
      <c r="G10" s="187"/>
      <c r="H10" s="187"/>
      <c r="I10" s="187"/>
      <c r="J10" s="44" t="s">
        <v>101</v>
      </c>
      <c r="K10" s="189"/>
      <c r="L10" s="189"/>
      <c r="M10" s="189"/>
      <c r="N10" s="44" t="s">
        <v>101</v>
      </c>
      <c r="O10" s="189"/>
      <c r="P10" s="189"/>
      <c r="Q10" s="189"/>
      <c r="R10" s="44" t="s">
        <v>101</v>
      </c>
      <c r="S10" s="82"/>
      <c r="T10" s="81"/>
      <c r="U10" s="81"/>
    </row>
    <row r="11" spans="1:21" s="195" customFormat="1" ht="12" customHeight="1" x14ac:dyDescent="0.2">
      <c r="A11" s="70" t="s">
        <v>133</v>
      </c>
      <c r="B11" s="210">
        <v>90</v>
      </c>
      <c r="C11" s="214" t="s">
        <v>103</v>
      </c>
      <c r="D11" s="210"/>
      <c r="E11" s="219"/>
      <c r="F11" s="210">
        <v>90</v>
      </c>
      <c r="G11" s="214" t="s">
        <v>103</v>
      </c>
      <c r="H11" s="210"/>
      <c r="I11" s="214"/>
      <c r="J11" s="210">
        <v>90</v>
      </c>
      <c r="K11" s="214" t="s">
        <v>103</v>
      </c>
      <c r="L11" s="210"/>
      <c r="M11" s="214"/>
      <c r="N11" s="210">
        <v>90</v>
      </c>
      <c r="O11" s="214" t="s">
        <v>103</v>
      </c>
      <c r="P11" s="210"/>
      <c r="Q11" s="210"/>
      <c r="R11" s="211">
        <v>0</v>
      </c>
      <c r="S11" s="214" t="s">
        <v>103</v>
      </c>
      <c r="T11" s="210"/>
      <c r="U11" s="214"/>
    </row>
    <row r="12" spans="1:21" s="195" customFormat="1" ht="12" customHeight="1" x14ac:dyDescent="0.2">
      <c r="A12" s="70" t="s">
        <v>130</v>
      </c>
      <c r="B12" s="211" t="str" cm="1">
        <f t="array" ref="B12">o_TypeConstructie(B10,B11)</f>
        <v>Woningscheidend</v>
      </c>
      <c r="C12" s="211"/>
      <c r="D12" s="211"/>
      <c r="E12" s="209"/>
      <c r="F12" s="211" t="str" cm="1">
        <f t="array" ref="F12">o_TypeConstructie(F10,F11)</f>
        <v>Woningscheidend</v>
      </c>
      <c r="G12" s="209"/>
      <c r="H12" s="211"/>
      <c r="I12" s="209"/>
      <c r="J12" s="211" t="str" cm="1">
        <f t="array" ref="J12">o_TypeConstructie(J10,J11)</f>
        <v>Woningscheidend</v>
      </c>
      <c r="K12" s="209"/>
      <c r="L12" s="211"/>
      <c r="M12" s="209"/>
      <c r="N12" s="211" t="str" cm="1">
        <f t="array" ref="N12">o_TypeConstructie(N10,N11)</f>
        <v>Woningscheidend</v>
      </c>
      <c r="O12" s="209"/>
      <c r="P12" s="211"/>
      <c r="Q12" s="211"/>
      <c r="R12" s="211" t="str" cm="1">
        <f t="array" ref="R12">o_TypeConstructie(R10,R11)</f>
        <v>Woningscheidend</v>
      </c>
      <c r="S12" s="207"/>
      <c r="T12" s="210"/>
      <c r="U12" s="214"/>
    </row>
    <row r="13" spans="1:21" s="195" customFormat="1" ht="12" customHeight="1" x14ac:dyDescent="0.2">
      <c r="A13" s="70" t="s">
        <v>127</v>
      </c>
      <c r="B13" s="207"/>
      <c r="C13" s="207" t="s">
        <v>1</v>
      </c>
      <c r="D13" s="207"/>
      <c r="E13" s="208"/>
      <c r="F13" s="207"/>
      <c r="G13" s="207" t="s">
        <v>1</v>
      </c>
      <c r="H13" s="207"/>
      <c r="I13" s="208"/>
      <c r="J13" s="207"/>
      <c r="K13" s="207" t="s">
        <v>1</v>
      </c>
      <c r="L13" s="207"/>
      <c r="M13" s="208"/>
      <c r="N13" s="207"/>
      <c r="O13" s="207" t="s">
        <v>1</v>
      </c>
      <c r="P13" s="207"/>
      <c r="Q13" s="208"/>
      <c r="R13" s="207"/>
      <c r="S13" s="207" t="s">
        <v>1</v>
      </c>
      <c r="T13" s="208"/>
      <c r="U13" s="208"/>
    </row>
    <row r="14" spans="1:21" s="195" customFormat="1" ht="12" customHeight="1" x14ac:dyDescent="0.2">
      <c r="A14" s="83" t="s">
        <v>128</v>
      </c>
      <c r="B14" s="207"/>
      <c r="C14" s="207" t="s">
        <v>1</v>
      </c>
      <c r="D14" s="207"/>
      <c r="E14" s="208"/>
      <c r="F14" s="207"/>
      <c r="G14" s="207" t="s">
        <v>1</v>
      </c>
      <c r="H14" s="207"/>
      <c r="I14" s="208"/>
      <c r="J14" s="207"/>
      <c r="K14" s="207" t="s">
        <v>1</v>
      </c>
      <c r="L14" s="207"/>
      <c r="M14" s="208"/>
      <c r="N14" s="207"/>
      <c r="O14" s="207" t="s">
        <v>1</v>
      </c>
      <c r="P14" s="207"/>
      <c r="Q14" s="208"/>
      <c r="R14" s="207"/>
      <c r="S14" s="207" t="s">
        <v>1</v>
      </c>
      <c r="T14" s="208"/>
      <c r="U14" s="208"/>
    </row>
    <row r="15" spans="1:21" s="195" customFormat="1" ht="12" customHeight="1" x14ac:dyDescent="0.2">
      <c r="A15" s="36" t="s">
        <v>104</v>
      </c>
      <c r="B15" s="208">
        <f>B13*B14</f>
        <v>0</v>
      </c>
      <c r="C15" s="208" t="s">
        <v>0</v>
      </c>
      <c r="D15" s="208"/>
      <c r="E15" s="208"/>
      <c r="F15" s="208">
        <f>F13*F14</f>
        <v>0</v>
      </c>
      <c r="G15" s="208" t="s">
        <v>0</v>
      </c>
      <c r="H15" s="208"/>
      <c r="I15" s="208"/>
      <c r="J15" s="208">
        <f>J13*J14</f>
        <v>0</v>
      </c>
      <c r="K15" s="208" t="s">
        <v>0</v>
      </c>
      <c r="L15" s="208"/>
      <c r="M15" s="208"/>
      <c r="N15" s="208">
        <f>N13*N14</f>
        <v>0</v>
      </c>
      <c r="O15" s="208" t="s">
        <v>0</v>
      </c>
      <c r="P15" s="208"/>
      <c r="Q15" s="208"/>
      <c r="R15" s="208">
        <f>R13*R14</f>
        <v>0</v>
      </c>
      <c r="S15" s="207" t="s">
        <v>0</v>
      </c>
      <c r="T15" s="208"/>
      <c r="U15" s="208"/>
    </row>
    <row r="16" spans="1:21" s="195" customFormat="1" ht="12" customHeight="1" x14ac:dyDescent="0.2">
      <c r="A16" s="36" t="s">
        <v>105</v>
      </c>
      <c r="B16" s="208">
        <f>MAX(0,B15-B18-D18)</f>
        <v>0</v>
      </c>
      <c r="C16" s="208" t="s">
        <v>0</v>
      </c>
      <c r="D16" s="208"/>
      <c r="E16" s="208"/>
      <c r="F16" s="208">
        <f>MAX(0,F15-F18-H18)</f>
        <v>0</v>
      </c>
      <c r="G16" s="208" t="s">
        <v>0</v>
      </c>
      <c r="H16" s="208"/>
      <c r="I16" s="208"/>
      <c r="J16" s="208">
        <f>MAX(0,J15-J18-L18)</f>
        <v>0</v>
      </c>
      <c r="K16" s="208" t="s">
        <v>0</v>
      </c>
      <c r="L16" s="208"/>
      <c r="M16" s="208"/>
      <c r="N16" s="208">
        <f>MAX(0,N15-N18-P18)</f>
        <v>0</v>
      </c>
      <c r="O16" s="208" t="s">
        <v>0</v>
      </c>
      <c r="P16" s="210"/>
      <c r="Q16" s="210"/>
      <c r="R16" s="208">
        <f>MAX(0,R15-R18-T18)</f>
        <v>0</v>
      </c>
      <c r="S16" s="207" t="s">
        <v>0</v>
      </c>
      <c r="T16" s="208"/>
      <c r="U16" s="208"/>
    </row>
    <row r="17" spans="1:21" s="195" customFormat="1" ht="12" customHeight="1" x14ac:dyDescent="0.2">
      <c r="A17" s="75"/>
      <c r="B17" s="215" t="s">
        <v>123</v>
      </c>
      <c r="C17" s="84"/>
      <c r="D17" s="215" t="s">
        <v>124</v>
      </c>
      <c r="E17" s="84"/>
      <c r="F17" s="215" t="s">
        <v>123</v>
      </c>
      <c r="G17" s="84"/>
      <c r="H17" s="215" t="s">
        <v>124</v>
      </c>
      <c r="I17" s="84"/>
      <c r="J17" s="215" t="s">
        <v>123</v>
      </c>
      <c r="K17" s="84"/>
      <c r="L17" s="215" t="s">
        <v>124</v>
      </c>
      <c r="M17" s="84"/>
      <c r="N17" s="215" t="s">
        <v>123</v>
      </c>
      <c r="O17" s="84"/>
      <c r="P17" s="215" t="s">
        <v>124</v>
      </c>
      <c r="Q17" s="84"/>
      <c r="R17" s="215" t="s">
        <v>123</v>
      </c>
      <c r="S17" s="84"/>
      <c r="T17" s="215" t="s">
        <v>124</v>
      </c>
      <c r="U17" s="84"/>
    </row>
    <row r="18" spans="1:21" s="195" customFormat="1" ht="12" customHeight="1" x14ac:dyDescent="0.25">
      <c r="A18" s="36" t="s">
        <v>218</v>
      </c>
      <c r="B18" s="209"/>
      <c r="C18" s="208" t="s">
        <v>0</v>
      </c>
      <c r="D18" s="210"/>
      <c r="E18" s="208" t="s">
        <v>0</v>
      </c>
      <c r="F18" s="210"/>
      <c r="G18" s="208" t="s">
        <v>0</v>
      </c>
      <c r="H18" s="210"/>
      <c r="I18" s="208" t="s">
        <v>0</v>
      </c>
      <c r="J18" s="210"/>
      <c r="K18" s="208" t="s">
        <v>0</v>
      </c>
      <c r="L18" s="210"/>
      <c r="M18" s="208" t="s">
        <v>0</v>
      </c>
      <c r="N18" s="210"/>
      <c r="O18" s="208" t="s">
        <v>0</v>
      </c>
      <c r="P18" s="210"/>
      <c r="Q18" s="208" t="s">
        <v>0</v>
      </c>
      <c r="R18" s="210"/>
      <c r="S18" s="208" t="s">
        <v>0</v>
      </c>
      <c r="T18" s="210"/>
      <c r="U18" s="208" t="s">
        <v>0</v>
      </c>
    </row>
    <row r="19" spans="1:21" s="195" customFormat="1" ht="12" customHeight="1" x14ac:dyDescent="0.25">
      <c r="A19" s="36" t="s">
        <v>134</v>
      </c>
      <c r="B19" s="209"/>
      <c r="C19" s="208" t="s">
        <v>98</v>
      </c>
      <c r="D19" s="210"/>
      <c r="E19" s="208" t="s">
        <v>98</v>
      </c>
      <c r="F19" s="210"/>
      <c r="G19" s="208" t="s">
        <v>98</v>
      </c>
      <c r="H19" s="210"/>
      <c r="I19" s="208" t="s">
        <v>98</v>
      </c>
      <c r="J19" s="210"/>
      <c r="K19" s="208" t="s">
        <v>98</v>
      </c>
      <c r="L19" s="210"/>
      <c r="M19" s="208" t="s">
        <v>98</v>
      </c>
      <c r="N19" s="210"/>
      <c r="O19" s="208" t="s">
        <v>98</v>
      </c>
      <c r="P19" s="210"/>
      <c r="Q19" s="208" t="s">
        <v>98</v>
      </c>
      <c r="R19" s="210"/>
      <c r="S19" s="208" t="s">
        <v>98</v>
      </c>
      <c r="T19" s="210"/>
      <c r="U19" s="208" t="s">
        <v>98</v>
      </c>
    </row>
    <row r="20" spans="1:21" s="195" customFormat="1" ht="12" customHeight="1" x14ac:dyDescent="0.2">
      <c r="A20" s="66" t="s">
        <v>221</v>
      </c>
      <c r="B20" s="209">
        <v>1</v>
      </c>
      <c r="C20" s="208"/>
      <c r="D20" s="210">
        <v>1</v>
      </c>
      <c r="E20" s="208"/>
      <c r="F20" s="210">
        <v>1</v>
      </c>
      <c r="G20" s="208"/>
      <c r="H20" s="210">
        <v>1</v>
      </c>
      <c r="I20" s="208"/>
      <c r="J20" s="210">
        <v>1</v>
      </c>
      <c r="K20" s="208"/>
      <c r="L20" s="210">
        <v>1</v>
      </c>
      <c r="M20" s="208"/>
      <c r="N20" s="210">
        <v>1</v>
      </c>
      <c r="O20" s="207"/>
      <c r="P20" s="210">
        <v>1</v>
      </c>
      <c r="Q20" s="208"/>
      <c r="R20" s="210">
        <v>1</v>
      </c>
      <c r="S20" s="207"/>
      <c r="T20" s="210">
        <v>1</v>
      </c>
      <c r="U20" s="208"/>
    </row>
    <row r="21" spans="1:21" s="195" customFormat="1" ht="12" customHeight="1" x14ac:dyDescent="0.2">
      <c r="A21" s="67" t="s">
        <v>219</v>
      </c>
      <c r="B21" s="220" t="s">
        <v>111</v>
      </c>
      <c r="C21" s="212"/>
      <c r="D21" s="220" t="s">
        <v>111</v>
      </c>
      <c r="E21" s="212"/>
      <c r="F21" s="220" t="s">
        <v>111</v>
      </c>
      <c r="G21" s="212"/>
      <c r="H21" s="220" t="s">
        <v>111</v>
      </c>
      <c r="I21" s="212"/>
      <c r="J21" s="220" t="s">
        <v>111</v>
      </c>
      <c r="K21" s="212"/>
      <c r="L21" s="220" t="s">
        <v>111</v>
      </c>
      <c r="M21" s="212"/>
      <c r="N21" s="220" t="s">
        <v>111</v>
      </c>
      <c r="O21" s="213"/>
      <c r="P21" s="220" t="s">
        <v>111</v>
      </c>
      <c r="Q21" s="212"/>
      <c r="R21" s="220" t="s">
        <v>111</v>
      </c>
      <c r="S21" s="213"/>
      <c r="T21" s="220" t="s">
        <v>111</v>
      </c>
      <c r="U21" s="208"/>
    </row>
    <row r="22" spans="1:21" s="195" customFormat="1" ht="68.25" customHeight="1" x14ac:dyDescent="0.2">
      <c r="A22" s="85"/>
      <c r="B22" s="208"/>
      <c r="C22" s="208"/>
      <c r="D22" s="208"/>
      <c r="E22" s="208"/>
      <c r="F22" s="208"/>
      <c r="G22" s="208"/>
      <c r="H22" s="208"/>
      <c r="I22" s="208"/>
      <c r="J22" s="208"/>
      <c r="K22" s="208"/>
      <c r="L22" s="208"/>
      <c r="M22" s="208"/>
      <c r="N22" s="208"/>
      <c r="O22" s="208"/>
      <c r="P22" s="208"/>
      <c r="Q22" s="208"/>
      <c r="R22" s="208"/>
      <c r="S22" s="207"/>
      <c r="T22" s="208"/>
      <c r="U22" s="208"/>
    </row>
    <row r="23" spans="1:21" s="195" customFormat="1" x14ac:dyDescent="0.2">
      <c r="A23" s="85"/>
      <c r="B23" s="215" t="s">
        <v>166</v>
      </c>
      <c r="C23" s="208"/>
      <c r="D23" s="215" t="s">
        <v>166</v>
      </c>
      <c r="E23" s="208"/>
      <c r="F23" s="215" t="s">
        <v>166</v>
      </c>
      <c r="G23" s="208"/>
      <c r="H23" s="215" t="s">
        <v>166</v>
      </c>
      <c r="I23" s="208"/>
      <c r="J23" s="215" t="s">
        <v>166</v>
      </c>
      <c r="K23" s="208"/>
      <c r="L23" s="215" t="s">
        <v>166</v>
      </c>
      <c r="M23" s="208"/>
      <c r="N23" s="215" t="s">
        <v>166</v>
      </c>
      <c r="O23" s="208"/>
      <c r="P23" s="215" t="s">
        <v>166</v>
      </c>
      <c r="Q23" s="208"/>
      <c r="R23" s="215"/>
      <c r="S23" s="208"/>
      <c r="T23" s="215"/>
      <c r="U23" s="208"/>
    </row>
    <row r="24" spans="1:21" s="195" customFormat="1" ht="12" customHeight="1" x14ac:dyDescent="0.2">
      <c r="A24" s="86" t="s">
        <v>120</v>
      </c>
      <c r="B24" s="216">
        <v>0</v>
      </c>
      <c r="C24" s="87" t="s">
        <v>1</v>
      </c>
      <c r="D24" s="216">
        <v>0</v>
      </c>
      <c r="E24" s="87" t="s">
        <v>1</v>
      </c>
      <c r="F24" s="216">
        <v>0</v>
      </c>
      <c r="G24" s="87" t="s">
        <v>1</v>
      </c>
      <c r="H24" s="216">
        <v>0</v>
      </c>
      <c r="I24" s="87" t="s">
        <v>1</v>
      </c>
      <c r="J24" s="216">
        <v>0</v>
      </c>
      <c r="K24" s="87" t="s">
        <v>1</v>
      </c>
      <c r="L24" s="216">
        <v>0</v>
      </c>
      <c r="M24" s="87" t="s">
        <v>1</v>
      </c>
      <c r="N24" s="216">
        <v>0</v>
      </c>
      <c r="O24" s="87" t="s">
        <v>1</v>
      </c>
      <c r="P24" s="216">
        <v>0</v>
      </c>
      <c r="Q24" s="87" t="s">
        <v>1</v>
      </c>
      <c r="R24" s="216">
        <v>0</v>
      </c>
      <c r="S24" s="87"/>
      <c r="T24" s="216">
        <v>0</v>
      </c>
      <c r="U24" s="87" t="s">
        <v>1</v>
      </c>
    </row>
    <row r="25" spans="1:21" s="195" customFormat="1" ht="12" customHeight="1" x14ac:dyDescent="0.2">
      <c r="A25" s="88" t="s">
        <v>121</v>
      </c>
      <c r="B25" s="216">
        <v>0</v>
      </c>
      <c r="C25" s="87" t="s">
        <v>1</v>
      </c>
      <c r="D25" s="216">
        <v>0</v>
      </c>
      <c r="E25" s="87" t="s">
        <v>1</v>
      </c>
      <c r="F25" s="216">
        <v>0</v>
      </c>
      <c r="G25" s="87" t="s">
        <v>1</v>
      </c>
      <c r="H25" s="216">
        <v>0</v>
      </c>
      <c r="I25" s="87" t="s">
        <v>1</v>
      </c>
      <c r="J25" s="216">
        <v>0</v>
      </c>
      <c r="K25" s="87" t="s">
        <v>1</v>
      </c>
      <c r="L25" s="216">
        <v>0</v>
      </c>
      <c r="M25" s="87" t="s">
        <v>1</v>
      </c>
      <c r="N25" s="216">
        <v>0</v>
      </c>
      <c r="O25" s="87" t="s">
        <v>1</v>
      </c>
      <c r="P25" s="216">
        <v>0</v>
      </c>
      <c r="Q25" s="87" t="s">
        <v>1</v>
      </c>
      <c r="R25" s="216">
        <v>0</v>
      </c>
      <c r="S25" s="87"/>
      <c r="T25" s="216">
        <v>0</v>
      </c>
      <c r="U25" s="87" t="s">
        <v>1</v>
      </c>
    </row>
    <row r="26" spans="1:21" s="195" customFormat="1" ht="12" customHeight="1" x14ac:dyDescent="0.2">
      <c r="A26" s="89" t="s">
        <v>163</v>
      </c>
      <c r="B26" s="217">
        <f>IFERROR(180/PI()*ATAN(B24/B25),0)</f>
        <v>0</v>
      </c>
      <c r="C26" s="90" t="s">
        <v>103</v>
      </c>
      <c r="D26" s="217">
        <f>IFERROR(180/PI()*ATAN(D24/D25),0)</f>
        <v>0</v>
      </c>
      <c r="E26" s="90" t="s">
        <v>103</v>
      </c>
      <c r="F26" s="217">
        <f>IFERROR(180/PI()*ATAN(F24/F25),0)</f>
        <v>0</v>
      </c>
      <c r="G26" s="90" t="s">
        <v>103</v>
      </c>
      <c r="H26" s="217">
        <f>IFERROR(180/PI()*ATAN(H24/H25),0)</f>
        <v>0</v>
      </c>
      <c r="I26" s="90" t="s">
        <v>103</v>
      </c>
      <c r="J26" s="217">
        <f>IFERROR(180/PI()*ATAN(J24/J25),0)</f>
        <v>0</v>
      </c>
      <c r="K26" s="90" t="s">
        <v>103</v>
      </c>
      <c r="L26" s="217">
        <f>IFERROR(180/PI()*ATAN(L24/L25),0)</f>
        <v>0</v>
      </c>
      <c r="M26" s="90" t="s">
        <v>103</v>
      </c>
      <c r="N26" s="217">
        <f>IFERROR(180/PI()*ATAN(N24/N25),0)</f>
        <v>0</v>
      </c>
      <c r="O26" s="90" t="s">
        <v>103</v>
      </c>
      <c r="P26" s="217">
        <f>IFERROR(180/PI()*ATAN(P24/P25),0)</f>
        <v>0</v>
      </c>
      <c r="Q26" s="90" t="s">
        <v>103</v>
      </c>
      <c r="R26" s="217"/>
      <c r="S26" s="90"/>
      <c r="T26" s="217"/>
      <c r="U26" s="90" t="s">
        <v>103</v>
      </c>
    </row>
    <row r="27" spans="1:21" s="195" customFormat="1" ht="12" customHeight="1" x14ac:dyDescent="0.2">
      <c r="A27" s="89" t="s">
        <v>119</v>
      </c>
      <c r="B27" s="216">
        <f>IFERROR(B24/B25,1)</f>
        <v>1</v>
      </c>
      <c r="C27" s="87"/>
      <c r="D27" s="216">
        <f>IFERROR(D24/D25,1)</f>
        <v>1</v>
      </c>
      <c r="E27" s="87"/>
      <c r="F27" s="216">
        <f>IFERROR(F24/F25,1)</f>
        <v>1</v>
      </c>
      <c r="G27" s="87"/>
      <c r="H27" s="216">
        <f>IFERROR(H24/H25,1)</f>
        <v>1</v>
      </c>
      <c r="I27" s="87"/>
      <c r="J27" s="216">
        <f>IFERROR(J24/J25,1)</f>
        <v>1</v>
      </c>
      <c r="K27" s="87"/>
      <c r="L27" s="216">
        <f>IFERROR(L24/L25,1)</f>
        <v>1</v>
      </c>
      <c r="M27" s="87"/>
      <c r="N27" s="216">
        <f>IFERROR(N24/N25,1)</f>
        <v>1</v>
      </c>
      <c r="O27" s="87"/>
      <c r="P27" s="216">
        <f>IFERROR(P24/P25,1)</f>
        <v>1</v>
      </c>
      <c r="Q27" s="87"/>
      <c r="R27" s="216"/>
      <c r="S27" s="87"/>
      <c r="T27" s="216"/>
      <c r="U27" s="87"/>
    </row>
    <row r="28" spans="1:21" s="195" customFormat="1" ht="101.25" customHeight="1" x14ac:dyDescent="0.2">
      <c r="A28" s="91"/>
      <c r="B28" s="208"/>
      <c r="C28" s="208"/>
      <c r="D28" s="208"/>
      <c r="E28" s="208"/>
      <c r="F28" s="208"/>
      <c r="G28" s="208"/>
      <c r="H28" s="208"/>
      <c r="I28" s="208"/>
      <c r="J28" s="208"/>
      <c r="K28" s="208"/>
      <c r="L28" s="208"/>
      <c r="M28" s="208"/>
      <c r="N28" s="208"/>
      <c r="O28" s="208"/>
      <c r="P28" s="208"/>
      <c r="Q28" s="208"/>
      <c r="R28" s="215"/>
      <c r="S28" s="215"/>
      <c r="T28" s="215"/>
      <c r="U28" s="208"/>
    </row>
    <row r="29" spans="1:21" s="195" customFormat="1" x14ac:dyDescent="0.2">
      <c r="A29" s="91"/>
      <c r="B29" s="215" t="s">
        <v>113</v>
      </c>
      <c r="C29" s="208"/>
      <c r="D29" s="215" t="s">
        <v>113</v>
      </c>
      <c r="E29" s="208"/>
      <c r="F29" s="215" t="s">
        <v>113</v>
      </c>
      <c r="G29" s="208"/>
      <c r="H29" s="215" t="s">
        <v>113</v>
      </c>
      <c r="I29" s="208"/>
      <c r="J29" s="215" t="s">
        <v>113</v>
      </c>
      <c r="K29" s="208"/>
      <c r="L29" s="215" t="s">
        <v>113</v>
      </c>
      <c r="M29" s="208"/>
      <c r="N29" s="215" t="s">
        <v>113</v>
      </c>
      <c r="O29" s="208"/>
      <c r="P29" s="215" t="s">
        <v>113</v>
      </c>
      <c r="Q29" s="208"/>
      <c r="R29" s="215"/>
      <c r="S29" s="215"/>
      <c r="T29" s="215"/>
      <c r="U29" s="208"/>
    </row>
    <row r="30" spans="1:21" s="195" customFormat="1" ht="12" customHeight="1" x14ac:dyDescent="0.2">
      <c r="A30" s="89" t="s">
        <v>158</v>
      </c>
      <c r="B30" s="216" t="s">
        <v>252</v>
      </c>
      <c r="C30" s="87"/>
      <c r="D30" s="216" t="s">
        <v>252</v>
      </c>
      <c r="E30" s="87"/>
      <c r="F30" s="216" t="s">
        <v>252</v>
      </c>
      <c r="G30" s="87"/>
      <c r="H30" s="216" t="s">
        <v>252</v>
      </c>
      <c r="I30" s="87"/>
      <c r="J30" s="216" t="s">
        <v>252</v>
      </c>
      <c r="K30" s="87"/>
      <c r="L30" s="216" t="s">
        <v>252</v>
      </c>
      <c r="M30" s="87"/>
      <c r="N30" s="216" t="s">
        <v>252</v>
      </c>
      <c r="O30" s="87"/>
      <c r="P30" s="216" t="s">
        <v>252</v>
      </c>
      <c r="Q30" s="87"/>
      <c r="R30" s="215" t="s">
        <v>252</v>
      </c>
      <c r="S30" s="215"/>
      <c r="T30" s="215" t="s">
        <v>252</v>
      </c>
      <c r="U30" s="87"/>
    </row>
    <row r="31" spans="1:21" s="195" customFormat="1" ht="12" customHeight="1" x14ac:dyDescent="0.2">
      <c r="A31" s="89" t="s">
        <v>155</v>
      </c>
      <c r="B31" s="216">
        <v>0</v>
      </c>
      <c r="C31" s="87" t="s">
        <v>1</v>
      </c>
      <c r="D31" s="216">
        <v>0</v>
      </c>
      <c r="E31" s="87" t="s">
        <v>1</v>
      </c>
      <c r="F31" s="216">
        <v>0</v>
      </c>
      <c r="G31" s="87" t="s">
        <v>1</v>
      </c>
      <c r="H31" s="216">
        <v>0</v>
      </c>
      <c r="I31" s="87" t="s">
        <v>1</v>
      </c>
      <c r="J31" s="216">
        <v>0</v>
      </c>
      <c r="K31" s="87" t="s">
        <v>1</v>
      </c>
      <c r="L31" s="216">
        <v>0</v>
      </c>
      <c r="M31" s="87" t="s">
        <v>1</v>
      </c>
      <c r="N31" s="216">
        <v>0</v>
      </c>
      <c r="O31" s="87" t="s">
        <v>1</v>
      </c>
      <c r="P31" s="216">
        <v>0</v>
      </c>
      <c r="Q31" s="87" t="s">
        <v>1</v>
      </c>
      <c r="R31" s="215">
        <v>0</v>
      </c>
      <c r="S31" s="215"/>
      <c r="T31" s="215">
        <v>0</v>
      </c>
      <c r="U31" s="87" t="s">
        <v>1</v>
      </c>
    </row>
    <row r="32" spans="1:21" s="195" customFormat="1" ht="12" customHeight="1" x14ac:dyDescent="0.2">
      <c r="A32" s="89" t="s">
        <v>156</v>
      </c>
      <c r="B32" s="216">
        <v>0</v>
      </c>
      <c r="C32" s="90" t="s">
        <v>1</v>
      </c>
      <c r="D32" s="216">
        <v>0</v>
      </c>
      <c r="E32" s="90" t="s">
        <v>1</v>
      </c>
      <c r="F32" s="216">
        <v>0</v>
      </c>
      <c r="G32" s="90" t="s">
        <v>1</v>
      </c>
      <c r="H32" s="216">
        <v>0</v>
      </c>
      <c r="I32" s="90" t="s">
        <v>1</v>
      </c>
      <c r="J32" s="216">
        <v>0</v>
      </c>
      <c r="K32" s="90" t="s">
        <v>1</v>
      </c>
      <c r="L32" s="216">
        <v>0</v>
      </c>
      <c r="M32" s="90" t="s">
        <v>1</v>
      </c>
      <c r="N32" s="216">
        <v>0</v>
      </c>
      <c r="O32" s="90" t="s">
        <v>1</v>
      </c>
      <c r="P32" s="216">
        <v>0</v>
      </c>
      <c r="Q32" s="90" t="s">
        <v>1</v>
      </c>
      <c r="R32" s="215">
        <v>0</v>
      </c>
      <c r="S32" s="215"/>
      <c r="T32" s="215">
        <v>0</v>
      </c>
      <c r="U32" s="87" t="s">
        <v>1</v>
      </c>
    </row>
    <row r="33" spans="1:21" s="195" customFormat="1" ht="12" customHeight="1" x14ac:dyDescent="0.25">
      <c r="A33" s="89" t="s">
        <v>157</v>
      </c>
      <c r="B33" s="216">
        <f>IFERROR(B31/B32,999)</f>
        <v>999</v>
      </c>
      <c r="C33" s="87"/>
      <c r="D33" s="216">
        <f>IFERROR(D31/D32,999)</f>
        <v>999</v>
      </c>
      <c r="E33" s="87"/>
      <c r="F33" s="216">
        <f>IFERROR(F31/F32,999)</f>
        <v>999</v>
      </c>
      <c r="G33" s="87"/>
      <c r="H33" s="216">
        <f>IFERROR(H31/H32,999)</f>
        <v>999</v>
      </c>
      <c r="I33" s="87"/>
      <c r="J33" s="216">
        <f>IFERROR(J31/J32,999)</f>
        <v>999</v>
      </c>
      <c r="K33" s="87"/>
      <c r="L33" s="216">
        <f>IFERROR(L31/L32,999)</f>
        <v>999</v>
      </c>
      <c r="M33" s="87"/>
      <c r="N33" s="216">
        <f>IFERROR(N31/N32,999)</f>
        <v>999</v>
      </c>
      <c r="O33" s="87"/>
      <c r="P33" s="216">
        <f>IFERROR(P31/P32,999)</f>
        <v>999</v>
      </c>
      <c r="Q33" s="87"/>
      <c r="R33" s="215"/>
      <c r="S33" s="215"/>
      <c r="T33" s="215"/>
      <c r="U33" s="87"/>
    </row>
    <row r="34" spans="1:21" s="195" customFormat="1" x14ac:dyDescent="0.2">
      <c r="A34" s="75"/>
      <c r="B34" s="84"/>
      <c r="C34" s="84"/>
      <c r="D34" s="84"/>
      <c r="E34" s="84"/>
      <c r="F34" s="84"/>
      <c r="G34" s="84"/>
      <c r="H34" s="84"/>
      <c r="I34" s="84"/>
      <c r="J34" s="84"/>
      <c r="K34" s="84"/>
      <c r="L34" s="84"/>
      <c r="M34" s="84"/>
      <c r="N34" s="84"/>
      <c r="O34" s="84"/>
      <c r="P34" s="84"/>
      <c r="Q34" s="84"/>
      <c r="R34" s="84"/>
      <c r="S34" s="84"/>
      <c r="T34" s="84"/>
      <c r="U34" s="84"/>
    </row>
    <row r="35" spans="1:21" s="195" customFormat="1" ht="12" customHeight="1" x14ac:dyDescent="0.25">
      <c r="A35" s="36" t="s">
        <v>135</v>
      </c>
      <c r="B35" s="216" cm="1">
        <f t="array" ref="B35">IFERROR(o_Beschaduwingreductie(B21,B8,B27,B30,B33,B11),1)</f>
        <v>1</v>
      </c>
      <c r="C35" s="208"/>
      <c r="D35" s="216" cm="1">
        <f t="array" ref="D35">IFERROR(o_Beschaduwingreductie(D21,B8,D27,D30,D33,B11),1)</f>
        <v>1</v>
      </c>
      <c r="E35" s="208"/>
      <c r="F35" s="216" cm="1">
        <f t="array" ref="F35">IFERROR(o_Beschaduwingreductie(F21,F8,F27,F30,F33,F11),1)</f>
        <v>1</v>
      </c>
      <c r="G35" s="208"/>
      <c r="H35" s="216" cm="1">
        <f t="array" ref="H35">IFERROR(o_Beschaduwingreductie(H21,F8,H27,H30,H33,F11),1)</f>
        <v>1</v>
      </c>
      <c r="I35" s="208"/>
      <c r="J35" s="216" cm="1">
        <f t="array" ref="J35">IFERROR(o_Beschaduwingreductie(J21,J8,J27,J30,J33,J11),1)</f>
        <v>1</v>
      </c>
      <c r="K35" s="208"/>
      <c r="L35" s="216" cm="1">
        <f t="array" ref="L35">IFERROR(o_Beschaduwingreductie(L21,J8,L27,L30,L33,J11),1)</f>
        <v>1</v>
      </c>
      <c r="M35" s="208"/>
      <c r="N35" s="216" cm="1">
        <f t="array" ref="N35">IFERROR(o_Beschaduwingreductie(N21,N8,N27,N30,N33,N11),1)</f>
        <v>1</v>
      </c>
      <c r="O35" s="208"/>
      <c r="P35" s="216" cm="1">
        <f t="array" ref="P35">IFERROR(o_Beschaduwingreductie(P21,N8,P27,P30,P33,N11),1)</f>
        <v>1</v>
      </c>
      <c r="Q35" s="208"/>
      <c r="R35" s="159" cm="1">
        <f t="array" ref="R35">o_Beschaduwingreductie(R21,R8,R27,R30,R33,R11)</f>
        <v>1</v>
      </c>
      <c r="S35" s="207"/>
      <c r="T35" s="216" cm="1">
        <f t="array" ref="T35">o_Beschaduwingreductie(T21,R8,T27,T30,T33,R11)</f>
        <v>1</v>
      </c>
      <c r="U35" s="208"/>
    </row>
    <row r="36" spans="1:21" s="195" customFormat="1" x14ac:dyDescent="0.2">
      <c r="A36" s="75"/>
      <c r="B36" s="84"/>
      <c r="C36" s="84"/>
      <c r="D36" s="84"/>
      <c r="E36" s="84"/>
      <c r="F36" s="84"/>
      <c r="G36" s="84"/>
      <c r="H36" s="84"/>
      <c r="I36" s="84"/>
      <c r="J36" s="84"/>
      <c r="K36" s="84"/>
      <c r="L36" s="84"/>
      <c r="M36" s="84"/>
      <c r="N36" s="84"/>
      <c r="O36" s="84"/>
      <c r="P36" s="84"/>
      <c r="Q36" s="84"/>
      <c r="R36" s="84"/>
      <c r="S36" s="84"/>
      <c r="T36" s="84"/>
      <c r="U36" s="84"/>
    </row>
    <row r="37" spans="1:21" s="195" customFormat="1" ht="12" customHeight="1" x14ac:dyDescent="0.2">
      <c r="A37" s="36" t="s">
        <v>82</v>
      </c>
      <c r="B37" s="220" t="s">
        <v>84</v>
      </c>
      <c r="C37" s="218"/>
      <c r="D37" s="220" t="s">
        <v>84</v>
      </c>
      <c r="E37" s="212"/>
      <c r="F37" s="220" t="s">
        <v>84</v>
      </c>
      <c r="G37" s="218"/>
      <c r="H37" s="220" t="s">
        <v>84</v>
      </c>
      <c r="I37" s="212"/>
      <c r="J37" s="220" t="s">
        <v>84</v>
      </c>
      <c r="K37" s="218"/>
      <c r="L37" s="220" t="s">
        <v>84</v>
      </c>
      <c r="M37" s="212"/>
      <c r="N37" s="220" t="s">
        <v>84</v>
      </c>
      <c r="O37" s="218"/>
      <c r="P37" s="220" t="s">
        <v>84</v>
      </c>
      <c r="Q37" s="212"/>
      <c r="R37" s="220" t="s">
        <v>84</v>
      </c>
      <c r="S37" s="218"/>
      <c r="T37" s="220" t="s">
        <v>84</v>
      </c>
      <c r="U37" s="208"/>
    </row>
    <row r="38" spans="1:21" s="195" customFormat="1" ht="12" customHeight="1" x14ac:dyDescent="0.25">
      <c r="A38" s="36" t="s">
        <v>136</v>
      </c>
      <c r="B38" s="159" cm="1">
        <f t="array" ref="B38">o_Zonweringreductie(B37,B8)</f>
        <v>1</v>
      </c>
      <c r="C38" s="208"/>
      <c r="D38" s="159" cm="1">
        <f t="array" ref="D38">o_Zonweringreductie(D37,B8)</f>
        <v>1</v>
      </c>
      <c r="E38" s="208"/>
      <c r="F38" s="159" cm="1">
        <f t="array" ref="F38">o_Zonweringreductie(F37,F8)</f>
        <v>1</v>
      </c>
      <c r="G38" s="208"/>
      <c r="H38" s="159" cm="1">
        <f t="array" ref="H38">o_Zonweringreductie(H37,F8)</f>
        <v>1</v>
      </c>
      <c r="I38" s="208"/>
      <c r="J38" s="159" cm="1">
        <f t="array" ref="J38">o_Zonweringreductie(J37,J8)</f>
        <v>1</v>
      </c>
      <c r="K38" s="208"/>
      <c r="L38" s="159" cm="1">
        <f t="array" ref="L38">o_Zonweringreductie(L37,J8)</f>
        <v>1</v>
      </c>
      <c r="M38" s="208"/>
      <c r="N38" s="159" cm="1">
        <f t="array" ref="N38">o_Zonweringreductie(N37,N8)</f>
        <v>1</v>
      </c>
      <c r="O38" s="208"/>
      <c r="P38" s="159" cm="1">
        <f t="array" ref="P38">o_Zonweringreductie(P37,N8)</f>
        <v>1</v>
      </c>
      <c r="Q38" s="208"/>
      <c r="R38" s="159" cm="1">
        <f t="array" ref="R38">o_Zonweringreductie(R37,R8)</f>
        <v>1</v>
      </c>
      <c r="S38" s="208"/>
      <c r="T38" s="159" cm="1">
        <f t="array" ref="T38">o_Zonweringreductie(T37,R8)</f>
        <v>1</v>
      </c>
      <c r="U38" s="208"/>
    </row>
    <row r="39" spans="1:21" s="195" customFormat="1" ht="12" customHeight="1" x14ac:dyDescent="0.25">
      <c r="A39" s="36" t="s">
        <v>137</v>
      </c>
      <c r="B39" s="159" cm="1">
        <f t="array" ref="B39">IF(B10="Nee",0,o_Isol_Bij_Tijdstip($B$52,B8,B11))</f>
        <v>0</v>
      </c>
      <c r="C39" s="208" t="s">
        <v>12</v>
      </c>
      <c r="D39" s="159" cm="1">
        <f t="array" ref="D39">IF(B10="Nee",0,o_Isol_Bij_Tijdstip($B$52,B8,B11))</f>
        <v>0</v>
      </c>
      <c r="E39" s="208" t="s">
        <v>12</v>
      </c>
      <c r="F39" s="159" cm="1">
        <f t="array" ref="F39">IF(F10="Nee",0,o_Isol_Bij_Tijdstip($B$52,F8,F11))</f>
        <v>0</v>
      </c>
      <c r="G39" s="208" t="s">
        <v>12</v>
      </c>
      <c r="H39" s="159" cm="1">
        <f t="array" ref="H39">IF(F10="Nee",0,o_Isol_Bij_Tijdstip($B$52,F8,F11))</f>
        <v>0</v>
      </c>
      <c r="I39" s="208" t="s">
        <v>12</v>
      </c>
      <c r="J39" s="159" cm="1">
        <f t="array" ref="J39">IF(J10="Nee",0,o_Isol_Bij_Tijdstip($B$52,J8,J11))</f>
        <v>0</v>
      </c>
      <c r="K39" s="208" t="s">
        <v>12</v>
      </c>
      <c r="L39" s="159" cm="1">
        <f t="array" ref="L39">IF(J10="Nee",0,o_Isol_Bij_Tijdstip($B$52,J8,J11))</f>
        <v>0</v>
      </c>
      <c r="M39" s="208" t="s">
        <v>12</v>
      </c>
      <c r="N39" s="159" cm="1">
        <f t="array" ref="N39">IF(N10="Nee",0,o_Isol_Bij_Tijdstip($B$52,N8,N11))</f>
        <v>0</v>
      </c>
      <c r="O39" s="208" t="s">
        <v>12</v>
      </c>
      <c r="P39" s="159" cm="1">
        <f t="array" ref="P39">IF(N10="Nee",0,o_Isol_Bij_Tijdstip($B$52,N8,N11))</f>
        <v>0</v>
      </c>
      <c r="Q39" s="208" t="s">
        <v>12</v>
      </c>
      <c r="R39" s="159" cm="1">
        <f t="array" ref="R39">IF(R10="Nee",0,o_Isol_Bij_Tijdstip($B$52,R8,R11))</f>
        <v>0</v>
      </c>
      <c r="S39" s="208" t="s">
        <v>12</v>
      </c>
      <c r="T39" s="159" cm="1">
        <f t="array" ref="T39">IF(R10="Nee",0,o_Isol_Bij_Tijdstip($B$52,R8,R11))</f>
        <v>0</v>
      </c>
      <c r="U39" s="208" t="s">
        <v>12</v>
      </c>
    </row>
    <row r="40" spans="1:21" s="195" customFormat="1" x14ac:dyDescent="0.2">
      <c r="A40" s="75"/>
      <c r="B40" s="84"/>
      <c r="C40" s="84"/>
      <c r="D40" s="84"/>
      <c r="E40" s="84"/>
      <c r="F40" s="84"/>
      <c r="G40" s="84"/>
      <c r="H40" s="84"/>
      <c r="I40" s="84"/>
      <c r="J40" s="84"/>
      <c r="K40" s="84"/>
      <c r="L40" s="84"/>
      <c r="M40" s="84"/>
      <c r="N40" s="84"/>
      <c r="O40" s="84"/>
      <c r="P40" s="84"/>
      <c r="Q40" s="84"/>
      <c r="R40" s="84"/>
      <c r="S40" s="84"/>
      <c r="T40" s="84"/>
      <c r="U40" s="84"/>
    </row>
    <row r="41" spans="1:21" s="195" customFormat="1" ht="12" customHeight="1" x14ac:dyDescent="0.25">
      <c r="A41" s="66" t="s">
        <v>138</v>
      </c>
      <c r="B41" s="239" t="e" cm="1">
        <f t="array" ref="B41">VALUE(o_Tijdstip_Isol_Max_Orientatie(B8,B11))</f>
        <v>#VALUE!</v>
      </c>
      <c r="C41" s="239"/>
      <c r="D41" s="240"/>
      <c r="E41" s="87"/>
      <c r="F41" s="239" cm="1">
        <f t="array" ref="F41">VALUE(o_Tijdstip_Isol_Max_Orientatie(F8,F11))</f>
        <v>0.375</v>
      </c>
      <c r="G41" s="239"/>
      <c r="H41" s="240"/>
      <c r="I41" s="87"/>
      <c r="J41" s="239" cm="1">
        <f t="array" ref="J41">VALUE(o_Tijdstip_Isol_Max_Orientatie(J8,J11))</f>
        <v>0.58333333333333337</v>
      </c>
      <c r="K41" s="239"/>
      <c r="L41" s="240"/>
      <c r="M41" s="87"/>
      <c r="N41" s="239" cm="1">
        <f t="array" ref="N41">VALUE(o_Tijdstip_Isol_Max_Orientatie(N8,N11))</f>
        <v>0.625</v>
      </c>
      <c r="O41" s="239"/>
      <c r="P41" s="240"/>
      <c r="Q41" s="87"/>
      <c r="R41" s="239" cm="1">
        <f t="array" ref="R41">VALUE(o_Tijdstip_Isol_Max_Orientatie(R8,R11))</f>
        <v>0.5</v>
      </c>
      <c r="S41" s="239"/>
      <c r="T41" s="240"/>
      <c r="U41" s="84"/>
    </row>
    <row r="42" spans="1:21" s="195" customFormat="1" ht="12" customHeight="1" x14ac:dyDescent="0.25">
      <c r="A42" s="66" t="s">
        <v>139</v>
      </c>
      <c r="B42" s="241" t="e" cm="1">
        <f t="array" ref="B42">o_maxTemp(o_Tijdstip_Isol_Max_Orientatie(B8,B11))</f>
        <v>#VALUE!</v>
      </c>
      <c r="C42" s="241"/>
      <c r="D42" s="241"/>
      <c r="E42" s="207" t="s">
        <v>2</v>
      </c>
      <c r="F42" s="241" cm="1">
        <f t="array" ref="F42">o_maxTemp(o_Tijdstip_Isol_Max_Orientatie(F8,F11))</f>
        <v>24.7</v>
      </c>
      <c r="G42" s="241"/>
      <c r="H42" s="241"/>
      <c r="I42" s="207" t="s">
        <v>2</v>
      </c>
      <c r="J42" s="241" cm="1">
        <f t="array" ref="J42">o_maxTemp(o_Tijdstip_Isol_Max_Orientatie(J8,J11))</f>
        <v>29.9</v>
      </c>
      <c r="K42" s="241"/>
      <c r="L42" s="241"/>
      <c r="M42" s="207" t="s">
        <v>2</v>
      </c>
      <c r="N42" s="241" cm="1">
        <f t="array" ref="N42">o_maxTemp(o_Tijdstip_Isol_Max_Orientatie(N8,N11))</f>
        <v>29.8</v>
      </c>
      <c r="O42" s="241"/>
      <c r="P42" s="241"/>
      <c r="Q42" s="207" t="s">
        <v>2</v>
      </c>
      <c r="R42" s="241" cm="1">
        <f t="array" ref="R42">o_maxTemp(o_Tijdstip_Isol_Max_Orientatie(R8,R11))</f>
        <v>28.9</v>
      </c>
      <c r="S42" s="241"/>
      <c r="T42" s="241"/>
      <c r="U42" s="84"/>
    </row>
    <row r="43" spans="1:21" s="195" customFormat="1" ht="12" customHeight="1" x14ac:dyDescent="0.2">
      <c r="A43" s="75"/>
      <c r="B43" s="75"/>
      <c r="C43" s="75"/>
      <c r="D43" s="75"/>
      <c r="E43" s="35"/>
      <c r="F43" s="75"/>
      <c r="G43" s="75"/>
      <c r="H43" s="75"/>
      <c r="I43" s="75"/>
      <c r="J43" s="75"/>
      <c r="K43" s="75"/>
      <c r="L43" s="75"/>
      <c r="M43" s="75"/>
      <c r="N43" s="75"/>
      <c r="O43" s="75"/>
      <c r="P43" s="75"/>
      <c r="Q43" s="75"/>
      <c r="R43" s="75"/>
      <c r="S43" s="75"/>
      <c r="T43" s="84"/>
      <c r="U43" s="84"/>
    </row>
    <row r="44" spans="1:21" s="195" customFormat="1" ht="12" hidden="1" customHeight="1" x14ac:dyDescent="0.2">
      <c r="A44" s="92" t="s">
        <v>169</v>
      </c>
      <c r="B44" s="96">
        <f>IF(B10="Ja",B18+D18,0)</f>
        <v>0</v>
      </c>
      <c r="C44" s="35" t="s">
        <v>0</v>
      </c>
      <c r="D44" s="75"/>
      <c r="E44" s="35"/>
      <c r="F44" s="96">
        <f>IF(F10="Ja",F18+H18,0)</f>
        <v>0</v>
      </c>
      <c r="G44" s="35" t="s">
        <v>0</v>
      </c>
      <c r="H44" s="75"/>
      <c r="I44" s="75"/>
      <c r="J44" s="96">
        <f>IF(J10="Ja",J18+L18,0)</f>
        <v>0</v>
      </c>
      <c r="K44" s="35" t="s">
        <v>0</v>
      </c>
      <c r="L44" s="75"/>
      <c r="M44" s="75"/>
      <c r="N44" s="96">
        <f>IF(N10="Ja",N18+P18,0)</f>
        <v>0</v>
      </c>
      <c r="O44" s="35" t="s">
        <v>0</v>
      </c>
      <c r="P44" s="75"/>
      <c r="Q44" s="75"/>
      <c r="R44" s="96">
        <f>IF(R10="Ja",R18+T18,0)</f>
        <v>0</v>
      </c>
      <c r="S44" s="35" t="s">
        <v>0</v>
      </c>
      <c r="T44" s="84"/>
      <c r="U44" s="84"/>
    </row>
    <row r="45" spans="1:21" s="195" customFormat="1" ht="12" hidden="1" customHeight="1" x14ac:dyDescent="0.2">
      <c r="A45" s="92" t="s">
        <v>126</v>
      </c>
      <c r="B45" s="93" t="b">
        <f>IF(B10="Ja",IF(B8="Noord",FALSE,TRUE),FALSE)</f>
        <v>0</v>
      </c>
      <c r="C45" s="35"/>
      <c r="D45" s="35"/>
      <c r="E45" s="35"/>
      <c r="F45" s="94" t="b">
        <f>IF(F10="Ja",IF(F8="Noord",FALSE,TRUE),FALSE)</f>
        <v>0</v>
      </c>
      <c r="G45" s="75"/>
      <c r="H45" s="75"/>
      <c r="I45" s="75"/>
      <c r="J45" s="94" t="b">
        <f>IF(J10="Ja",IF(J8="Noord",FALSE,TRUE),FALSE)</f>
        <v>0</v>
      </c>
      <c r="K45" s="75"/>
      <c r="L45" s="75"/>
      <c r="M45" s="75"/>
      <c r="N45" s="94" t="b">
        <f>IF(N10="Ja",IF(N8="Noord",FALSE,TRUE),FALSE)</f>
        <v>0</v>
      </c>
      <c r="O45" s="75"/>
      <c r="P45" s="75"/>
      <c r="Q45" s="75"/>
      <c r="R45" s="94" t="b">
        <f>IF(R10="Ja",IF(R8="Noord",FALSE,TRUE),FALSE)</f>
        <v>0</v>
      </c>
      <c r="S45" s="75"/>
      <c r="T45" s="84"/>
      <c r="U45" s="84"/>
    </row>
    <row r="46" spans="1:21" s="195" customFormat="1" ht="12" hidden="1" customHeight="1" x14ac:dyDescent="0.2">
      <c r="A46" s="92" t="s">
        <v>109</v>
      </c>
      <c r="B46" s="95" t="b">
        <f>IF(AND(B45=TRUE,COUNTIF($B$45:$R$45,TRUE)=1),TRUE,FALSE)</f>
        <v>0</v>
      </c>
      <c r="C46" s="35"/>
      <c r="D46" s="75"/>
      <c r="E46" s="35"/>
      <c r="F46" s="95" t="b">
        <f>IF(AND(F45=TRUE,COUNTIF($B$45:$R$45,TRUE)=1),TRUE,FALSE)</f>
        <v>0</v>
      </c>
      <c r="G46" s="75"/>
      <c r="H46" s="75"/>
      <c r="I46" s="75"/>
      <c r="J46" s="95" t="b">
        <f>IF(AND(J45=TRUE,COUNTIF($B$45:$R$45,TRUE)=1),TRUE,FALSE)</f>
        <v>0</v>
      </c>
      <c r="K46" s="75"/>
      <c r="L46" s="75"/>
      <c r="M46" s="75"/>
      <c r="N46" s="95" t="b">
        <f>IF(AND(N45=TRUE,COUNTIF($B$45:$R$45,TRUE)=1),TRUE,FALSE)</f>
        <v>0</v>
      </c>
      <c r="O46" s="75"/>
      <c r="P46" s="75"/>
      <c r="Q46" s="75"/>
      <c r="R46" s="95" t="b">
        <f>IF(AND(R45=TRUE,COUNTIF($B$45:$R$45,TRUE)=1),TRUE,FALSE)</f>
        <v>0</v>
      </c>
      <c r="S46" s="75"/>
      <c r="T46" s="84"/>
      <c r="U46" s="84"/>
    </row>
    <row r="47" spans="1:21" s="195" customFormat="1" ht="12" hidden="1" customHeight="1" x14ac:dyDescent="0.2">
      <c r="A47" s="92" t="s">
        <v>152</v>
      </c>
      <c r="B47" s="96">
        <f>IF(B8&lt;&gt;"Noord",B44,0)</f>
        <v>0</v>
      </c>
      <c r="C47" s="35" t="s">
        <v>0</v>
      </c>
      <c r="D47" s="75"/>
      <c r="E47" s="35"/>
      <c r="F47" s="96">
        <f>IF(F8&lt;&gt;"Noord",F44,0)</f>
        <v>0</v>
      </c>
      <c r="G47" s="35" t="s">
        <v>0</v>
      </c>
      <c r="H47" s="75"/>
      <c r="I47" s="75"/>
      <c r="J47" s="96">
        <f>IF(J8&lt;&gt;"Noord",J44,0)</f>
        <v>0</v>
      </c>
      <c r="K47" s="35" t="s">
        <v>0</v>
      </c>
      <c r="L47" s="75"/>
      <c r="M47" s="75"/>
      <c r="N47" s="96">
        <f>IF(N8&lt;&gt;"Noord",N44,0)</f>
        <v>0</v>
      </c>
      <c r="O47" s="35" t="s">
        <v>0</v>
      </c>
      <c r="P47" s="75"/>
      <c r="Q47" s="75"/>
      <c r="R47" s="96">
        <f>R44</f>
        <v>0</v>
      </c>
      <c r="S47" s="35" t="s">
        <v>0</v>
      </c>
      <c r="T47" s="84"/>
      <c r="U47" s="84"/>
    </row>
    <row r="48" spans="1:21" s="195" customFormat="1" ht="12" hidden="1" customHeight="1" x14ac:dyDescent="0.2">
      <c r="A48" s="92" t="s">
        <v>153</v>
      </c>
      <c r="B48" s="97" t="b">
        <f>IF(AND(B45,B47=MAX($B$47:$R$47)),TRUE,FALSE)</f>
        <v>0</v>
      </c>
      <c r="C48" s="35"/>
      <c r="D48" s="75"/>
      <c r="E48" s="35"/>
      <c r="F48" s="97" t="b">
        <f>IF(AND(F45,F47=MAX($B$47:$R$47)),TRUE,FALSE)</f>
        <v>0</v>
      </c>
      <c r="G48" s="75"/>
      <c r="H48" s="75"/>
      <c r="I48" s="75"/>
      <c r="J48" s="97" t="b">
        <f>IF(AND(J45,J47=MAX($B$47:$R$47)),TRUE,FALSE)</f>
        <v>0</v>
      </c>
      <c r="K48" s="75"/>
      <c r="L48" s="75"/>
      <c r="M48" s="75"/>
      <c r="N48" s="97" t="b">
        <f>IF(AND(N45,N47=MAX($B$47:$R$47)),TRUE,FALSE)</f>
        <v>0</v>
      </c>
      <c r="O48" s="75"/>
      <c r="P48" s="75"/>
      <c r="Q48" s="75"/>
      <c r="R48" s="97" t="b">
        <f>IF(AND(R45,R47=MAX($B$47:$R$47)),TRUE,FALSE)</f>
        <v>0</v>
      </c>
      <c r="S48" s="75"/>
      <c r="T48" s="84"/>
      <c r="U48" s="84"/>
    </row>
    <row r="49" spans="1:21" s="195" customFormat="1" ht="12" hidden="1" customHeight="1" x14ac:dyDescent="0.2">
      <c r="A49" s="92" t="s">
        <v>125</v>
      </c>
      <c r="B49" s="98" t="e">
        <f>IF(AND(B11&lt;90,B15&gt;3*(B18+D18),'Projectgegevens en Resultaten'!#REF!&lt;65),TRUE,FALSE)</f>
        <v>#REF!</v>
      </c>
      <c r="C49" s="35"/>
      <c r="D49" s="35"/>
      <c r="E49" s="35"/>
      <c r="F49" s="98" t="e">
        <f>IF(AND(F11&lt;90,F15&gt;3*(F18+H18),'Projectgegevens en Resultaten'!#REF!&lt;65),TRUE,FALSE)</f>
        <v>#REF!</v>
      </c>
      <c r="G49" s="75"/>
      <c r="H49" s="75"/>
      <c r="I49" s="75"/>
      <c r="J49" s="98" t="e">
        <f>IF(AND(J11&lt;90,J15&gt;3*(J18+L18),'Projectgegevens en Resultaten'!#REF!&lt;65),TRUE,FALSE)</f>
        <v>#REF!</v>
      </c>
      <c r="K49" s="75"/>
      <c r="L49" s="75"/>
      <c r="M49" s="75"/>
      <c r="N49" s="98" t="e">
        <f>IF(AND(N11&lt;90,N15&gt;3*(N18+P18),'Projectgegevens en Resultaten'!#REF!&lt;65),TRUE,FALSE)</f>
        <v>#REF!</v>
      </c>
      <c r="O49" s="75"/>
      <c r="P49" s="75"/>
      <c r="Q49" s="75"/>
      <c r="R49" s="98" t="e">
        <f>IF(AND(R11&lt;90,R15&gt;3*(R18+T18),'Projectgegevens en Resultaten'!#REF!&lt;65),TRUE,FALSE)</f>
        <v>#REF!</v>
      </c>
      <c r="S49" s="75"/>
      <c r="T49" s="84"/>
      <c r="U49" s="84"/>
    </row>
    <row r="50" spans="1:21" s="195" customFormat="1" ht="12" hidden="1" customHeight="1" x14ac:dyDescent="0.2">
      <c r="A50" s="92" t="s">
        <v>154</v>
      </c>
      <c r="B50" s="98" t="b">
        <f>IF(COUNTIF($B$49:$R$49,TRUE)&gt;0,TRUE,FALSE)</f>
        <v>0</v>
      </c>
      <c r="C50" s="35"/>
      <c r="D50" s="35"/>
      <c r="E50" s="35"/>
      <c r="F50" s="98" t="b">
        <f>IF(COUNTIF($B$49:$R$49,TRUE)&gt;0,TRUE,FALSE)</f>
        <v>0</v>
      </c>
      <c r="G50" s="75"/>
      <c r="H50" s="75"/>
      <c r="I50" s="75"/>
      <c r="J50" s="98" t="b">
        <f>IF(COUNTIF($B$49:$R$49,TRUE)&gt;0,TRUE,FALSE)</f>
        <v>0</v>
      </c>
      <c r="K50" s="75"/>
      <c r="L50" s="75"/>
      <c r="M50" s="75"/>
      <c r="N50" s="98" t="b">
        <f>IF(COUNTIF($B$49:$R$49,TRUE)&gt;0,TRUE,FALSE)</f>
        <v>0</v>
      </c>
      <c r="O50" s="75"/>
      <c r="P50" s="75"/>
      <c r="Q50" s="75"/>
      <c r="R50" s="98" t="b">
        <f>IF(COUNTIF($B$49:$R$49,TRUE)&gt;0,TRUE,FALSE)</f>
        <v>0</v>
      </c>
      <c r="S50" s="75"/>
      <c r="T50" s="84"/>
      <c r="U50" s="84"/>
    </row>
    <row r="51" spans="1:21" s="195" customFormat="1" ht="12" hidden="1" customHeight="1" x14ac:dyDescent="0.2">
      <c r="A51" s="92" t="s">
        <v>151</v>
      </c>
      <c r="B51" s="99" t="e">
        <f>IF(OR(B46,AND(B45,B50,B49),AND(B45,B48,NOT(B50))),B41)</f>
        <v>#REF!</v>
      </c>
      <c r="C51" s="35"/>
      <c r="D51" s="35"/>
      <c r="E51" s="35"/>
      <c r="F51" s="99" t="e">
        <f>IF(OR(F46,AND(F45,F50,F49),AND(F45,F48,NOT(F50))),F41)</f>
        <v>#REF!</v>
      </c>
      <c r="G51" s="75"/>
      <c r="H51" s="35"/>
      <c r="I51" s="75"/>
      <c r="J51" s="99" t="e">
        <f>IF(OR(J46,AND(J45,J50,J49),AND(J45,J48,NOT(J50))),J41)</f>
        <v>#REF!</v>
      </c>
      <c r="K51" s="75"/>
      <c r="L51" s="35"/>
      <c r="M51" s="75"/>
      <c r="N51" s="99" t="e">
        <f>IF(OR(N46,AND(N45,N50,N49),AND(N45,N48,NOT(N50))),N41)</f>
        <v>#REF!</v>
      </c>
      <c r="O51" s="75"/>
      <c r="P51" s="75"/>
      <c r="Q51" s="75"/>
      <c r="R51" s="99" t="e">
        <f>IF(OR(R46,AND(R45,R50,R49),AND(R45,R48,NOT(R50))),R41)</f>
        <v>#REF!</v>
      </c>
      <c r="S51" s="75"/>
      <c r="T51" s="84"/>
      <c r="U51" s="84"/>
    </row>
    <row r="52" spans="1:21" s="195" customFormat="1" ht="12" customHeight="1" x14ac:dyDescent="0.25">
      <c r="A52" s="39" t="s">
        <v>140</v>
      </c>
      <c r="B52" s="100" t="str">
        <f>IFERROR(B88,"geen glas ingevoerd")</f>
        <v>Geen glas aanwezig</v>
      </c>
      <c r="C52" s="35"/>
      <c r="D52" s="35"/>
      <c r="E52" s="35"/>
      <c r="F52" s="75"/>
      <c r="G52" s="75"/>
      <c r="H52" s="75"/>
      <c r="I52" s="75"/>
      <c r="J52" s="75"/>
      <c r="K52" s="75"/>
      <c r="L52" s="75"/>
      <c r="M52" s="75"/>
      <c r="N52" s="75"/>
      <c r="O52" s="75"/>
      <c r="P52" s="75"/>
      <c r="Q52" s="75"/>
      <c r="R52" s="75"/>
      <c r="S52" s="75"/>
      <c r="T52" s="84"/>
      <c r="U52" s="84"/>
    </row>
    <row r="53" spans="1:21" s="195" customFormat="1" ht="12" customHeight="1" x14ac:dyDescent="0.25">
      <c r="A53" s="66" t="s">
        <v>139</v>
      </c>
      <c r="B53" s="98" t="str">
        <f>IF(MAX(T77:T86)=0,"",_xlfn.XLOOKUP(MAX(T77:T86),T77:T86,$D$77:$D$86,"nvt"))</f>
        <v/>
      </c>
      <c r="C53" s="71" t="s">
        <v>2</v>
      </c>
      <c r="D53" s="35"/>
      <c r="E53" s="35"/>
      <c r="F53" s="75"/>
      <c r="G53" s="75"/>
      <c r="H53" s="75"/>
      <c r="I53" s="75"/>
      <c r="J53" s="75"/>
      <c r="K53" s="75"/>
      <c r="L53" s="75"/>
      <c r="M53" s="75"/>
      <c r="N53" s="75"/>
      <c r="O53" s="75"/>
      <c r="P53" s="75"/>
      <c r="Q53" s="75"/>
      <c r="R53" s="75"/>
      <c r="S53" s="75"/>
      <c r="T53" s="84"/>
      <c r="U53" s="84"/>
    </row>
    <row r="54" spans="1:21" s="195" customFormat="1" ht="12" customHeight="1" x14ac:dyDescent="0.2">
      <c r="A54" s="75"/>
      <c r="B54" s="75"/>
      <c r="C54" s="75"/>
      <c r="D54" s="75"/>
      <c r="E54" s="75"/>
      <c r="F54" s="75"/>
      <c r="G54" s="75"/>
      <c r="H54" s="75"/>
      <c r="I54" s="75"/>
      <c r="J54" s="75"/>
      <c r="K54" s="75"/>
      <c r="L54" s="75"/>
      <c r="M54" s="75"/>
      <c r="N54" s="75"/>
      <c r="O54" s="75"/>
      <c r="P54" s="75"/>
      <c r="Q54" s="75"/>
      <c r="R54" s="75"/>
      <c r="S54" s="75"/>
      <c r="T54" s="84"/>
      <c r="U54" s="84"/>
    </row>
    <row r="55" spans="1:21" s="195" customFormat="1" ht="12" customHeight="1" x14ac:dyDescent="0.25">
      <c r="A55" s="36" t="s">
        <v>260</v>
      </c>
      <c r="B55" s="248">
        <f>IF(B10="Nee",0,B16*'Projectgegevens en Resultaten'!$B$16)</f>
        <v>0</v>
      </c>
      <c r="C55" s="248"/>
      <c r="D55" s="249"/>
      <c r="E55" s="40" t="s">
        <v>11</v>
      </c>
      <c r="F55" s="248">
        <f>IF(F10="Nee",0,F16*'Projectgegevens en Resultaten'!$B$16)</f>
        <v>0</v>
      </c>
      <c r="G55" s="248"/>
      <c r="H55" s="249"/>
      <c r="I55" s="40" t="s">
        <v>11</v>
      </c>
      <c r="J55" s="248">
        <f>IF(J10="Nee",0,J16*'Projectgegevens en Resultaten'!$B$16)</f>
        <v>0</v>
      </c>
      <c r="K55" s="248"/>
      <c r="L55" s="249"/>
      <c r="M55" s="40" t="s">
        <v>11</v>
      </c>
      <c r="N55" s="248">
        <f>IF(N10="Nee",0,N16*'Projectgegevens en Resultaten'!$B$16)</f>
        <v>0</v>
      </c>
      <c r="O55" s="248"/>
      <c r="P55" s="249"/>
      <c r="Q55" s="40" t="s">
        <v>11</v>
      </c>
      <c r="R55" s="248">
        <f>IF(R10="Nee",0,R16*'Projectgegevens en Resultaten'!$B$16)</f>
        <v>0</v>
      </c>
      <c r="S55" s="248"/>
      <c r="T55" s="249"/>
      <c r="U55" s="40" t="s">
        <v>11</v>
      </c>
    </row>
    <row r="56" spans="1:21" s="195" customFormat="1" ht="12" customHeight="1" x14ac:dyDescent="0.25">
      <c r="A56" s="72" t="s">
        <v>142</v>
      </c>
      <c r="B56" s="242">
        <f>(0.75*B18*FLOOR(B20,0.05)*0.9*B35*B38*B39)+(0.75*D18*FLOOR(D20,0.05)*0.9*D35*D38*D39)</f>
        <v>0</v>
      </c>
      <c r="C56" s="242"/>
      <c r="D56" s="243"/>
      <c r="E56" s="40" t="s">
        <v>11</v>
      </c>
      <c r="F56" s="242">
        <f>(0.75*F18*FLOOR(F20,0.05)*0.9*F35*F38*F39)+(0.75*H18*FLOOR(H20,0.05)*0.9*H35*H38*H39)</f>
        <v>0</v>
      </c>
      <c r="G56" s="242"/>
      <c r="H56" s="243"/>
      <c r="I56" s="40" t="s">
        <v>11</v>
      </c>
      <c r="J56" s="242">
        <f>(0.75*J18*FLOOR(J20,0.05)*0.9*J35*J38*J39)+(0.75*L18*FLOOR(L20,0.05)*0.9*L35*L38*L39)</f>
        <v>0</v>
      </c>
      <c r="K56" s="242"/>
      <c r="L56" s="243"/>
      <c r="M56" s="40" t="s">
        <v>11</v>
      </c>
      <c r="N56" s="242">
        <f>(0.75*N18*FLOOR(N20,0.05)*0.9*N35*N38*N39)+(0.75*P18*FLOOR(P20,0.05)*0.9*P35*P38*P39)</f>
        <v>0</v>
      </c>
      <c r="O56" s="242"/>
      <c r="P56" s="243"/>
      <c r="Q56" s="40" t="s">
        <v>11</v>
      </c>
      <c r="R56" s="242">
        <f>(0.75*R18*FLOOR(R20,0.05)*0.9*R35*R38*R39)+(0.75*T18*FLOOR(T20,0.05)*0.9*T35*T38*T39)</f>
        <v>0</v>
      </c>
      <c r="S56" s="242"/>
      <c r="T56" s="243"/>
      <c r="U56" s="40" t="s">
        <v>11</v>
      </c>
    </row>
    <row r="57" spans="1:21" s="195" customFormat="1" ht="12" customHeight="1" x14ac:dyDescent="0.25">
      <c r="A57" s="72" t="s">
        <v>143</v>
      </c>
      <c r="B57" s="248">
        <f>IF(B10="Nee",0,IFERROR(B18*B19*($B$53-24),0)+IFERROR(D18*D19*($B$53-24),0))</f>
        <v>0</v>
      </c>
      <c r="C57" s="248"/>
      <c r="D57" s="249"/>
      <c r="E57" s="40" t="s">
        <v>11</v>
      </c>
      <c r="F57" s="248">
        <f>IF(F10="Nee",0,IFERROR(F18*F19*($B$53-24),0)+IFERROR(H18*H19*($B$53-24),0))</f>
        <v>0</v>
      </c>
      <c r="G57" s="248"/>
      <c r="H57" s="249"/>
      <c r="I57" s="40" t="s">
        <v>11</v>
      </c>
      <c r="J57" s="248">
        <f>IF(J10="Nee",0,IFERROR(J18*J19*($B$53-24),0)+IFERROR(L18*L19*($B$53-24),0))</f>
        <v>0</v>
      </c>
      <c r="K57" s="248"/>
      <c r="L57" s="249"/>
      <c r="M57" s="40" t="s">
        <v>11</v>
      </c>
      <c r="N57" s="248">
        <f>IF(N10="Nee",0,IFERROR(N18*N19*($B$53-24),0)+IFERROR(P18*P19*($B$53-24),0))</f>
        <v>0</v>
      </c>
      <c r="O57" s="248"/>
      <c r="P57" s="249"/>
      <c r="Q57" s="40" t="s">
        <v>11</v>
      </c>
      <c r="R57" s="248">
        <f>IF(R10="Nee",0,IFERROR(R18*R19*($B$53-24),0)+IFERROR(T18*T19*($B$53-24),0))</f>
        <v>0</v>
      </c>
      <c r="S57" s="248"/>
      <c r="T57" s="249"/>
      <c r="U57" s="40" t="s">
        <v>11</v>
      </c>
    </row>
    <row r="58" spans="1:21" s="195" customFormat="1" ht="12" customHeight="1" x14ac:dyDescent="0.2">
      <c r="A58" s="66" t="s">
        <v>100</v>
      </c>
      <c r="B58" s="246">
        <f>SUM(B55:D57)</f>
        <v>0</v>
      </c>
      <c r="C58" s="246"/>
      <c r="D58" s="247"/>
      <c r="E58" s="40" t="s">
        <v>11</v>
      </c>
      <c r="F58" s="246">
        <f>SUM(F55:H57)</f>
        <v>0</v>
      </c>
      <c r="G58" s="246"/>
      <c r="H58" s="247"/>
      <c r="I58" s="41" t="s">
        <v>11</v>
      </c>
      <c r="J58" s="246">
        <f>SUM(J55:L57)</f>
        <v>0</v>
      </c>
      <c r="K58" s="246"/>
      <c r="L58" s="247"/>
      <c r="M58" s="41" t="s">
        <v>11</v>
      </c>
      <c r="N58" s="246">
        <f>SUM(N55:P57)</f>
        <v>0</v>
      </c>
      <c r="O58" s="246"/>
      <c r="P58" s="247"/>
      <c r="Q58" s="41" t="s">
        <v>11</v>
      </c>
      <c r="R58" s="250">
        <f>SUM(R55:R57)</f>
        <v>0</v>
      </c>
      <c r="S58" s="250"/>
      <c r="T58" s="250"/>
      <c r="U58" s="41" t="s">
        <v>11</v>
      </c>
    </row>
    <row r="59" spans="1:21" s="195" customFormat="1" ht="12" customHeight="1" x14ac:dyDescent="0.2">
      <c r="A59" s="75"/>
      <c r="B59" s="76"/>
      <c r="C59" s="76"/>
      <c r="D59" s="76"/>
      <c r="E59" s="75"/>
      <c r="F59" s="75"/>
      <c r="G59" s="75"/>
      <c r="H59" s="75"/>
      <c r="I59" s="75"/>
      <c r="J59" s="75"/>
      <c r="K59" s="75"/>
      <c r="L59" s="75"/>
      <c r="M59" s="75"/>
      <c r="N59" s="75"/>
      <c r="O59" s="75"/>
      <c r="P59" s="75"/>
      <c r="Q59" s="75"/>
      <c r="R59" s="75"/>
      <c r="S59" s="75"/>
      <c r="T59" s="75"/>
      <c r="U59" s="84"/>
    </row>
    <row r="60" spans="1:21" s="195" customFormat="1" ht="12" customHeight="1" x14ac:dyDescent="0.25">
      <c r="A60" s="36" t="s">
        <v>144</v>
      </c>
      <c r="B60" s="242">
        <f>IF(B5=0,0,IF(B4="Woonvertrek",2*'Projectgegevens en Resultaten'!$B$33*B5,'Projectgegevens en Resultaten'!$B$33*B5))</f>
        <v>0</v>
      </c>
      <c r="C60" s="242"/>
      <c r="D60" s="243"/>
      <c r="E60" s="40" t="s">
        <v>11</v>
      </c>
      <c r="F60" s="75"/>
      <c r="G60" s="75"/>
      <c r="H60" s="75"/>
      <c r="I60" s="75"/>
      <c r="J60" s="75"/>
      <c r="K60" s="75"/>
      <c r="L60" s="75"/>
      <c r="M60" s="75"/>
      <c r="N60" s="75"/>
      <c r="O60" s="75"/>
      <c r="P60" s="75"/>
      <c r="Q60" s="75"/>
      <c r="R60" s="65"/>
      <c r="S60" s="35"/>
      <c r="T60" s="75"/>
      <c r="U60" s="84"/>
    </row>
    <row r="61" spans="1:21" s="195" customFormat="1" ht="12" customHeight="1" x14ac:dyDescent="0.25">
      <c r="A61" s="36" t="s">
        <v>145</v>
      </c>
      <c r="B61" s="244">
        <f>IFERROR(MAX((SUM('Projectgegevens en Resultaten'!$B$21:$B$23)/3600*1.205*1005*(B53-24))/SUM('Projectgegevens en Resultaten'!$B$40:$T$40)*B5,0),0)</f>
        <v>0</v>
      </c>
      <c r="C61" s="244">
        <f>IFERROR(MAX(SUM(C57:C59)/3600*1.205*1005*(C60-24),0),0)</f>
        <v>0</v>
      </c>
      <c r="D61" s="245">
        <f>IFERROR(MAX(SUM(D57:D59)/3600*1.205*1005*(D60-24),0),0)</f>
        <v>0</v>
      </c>
      <c r="E61" s="40" t="s">
        <v>11</v>
      </c>
      <c r="F61" s="75"/>
      <c r="G61" s="75"/>
      <c r="H61" s="75"/>
      <c r="I61" s="75"/>
      <c r="J61" s="75"/>
      <c r="K61" s="75"/>
      <c r="L61" s="75"/>
      <c r="M61" s="75"/>
      <c r="N61" s="75"/>
      <c r="O61" s="75"/>
      <c r="P61" s="75"/>
      <c r="Q61" s="75"/>
      <c r="R61" s="65"/>
      <c r="S61" s="35"/>
      <c r="T61" s="75"/>
      <c r="U61" s="84"/>
    </row>
    <row r="62" spans="1:21" s="195" customFormat="1" ht="12" customHeight="1" x14ac:dyDescent="0.2">
      <c r="A62" s="75"/>
      <c r="B62" s="76"/>
      <c r="C62" s="76"/>
      <c r="D62" s="76"/>
      <c r="E62" s="75"/>
      <c r="F62" s="75"/>
      <c r="G62" s="75"/>
      <c r="H62" s="75"/>
      <c r="I62" s="75"/>
      <c r="J62" s="75"/>
      <c r="K62" s="75"/>
      <c r="L62" s="75"/>
      <c r="M62" s="75"/>
      <c r="N62" s="75"/>
      <c r="O62" s="75"/>
      <c r="P62" s="75"/>
      <c r="Q62" s="75"/>
      <c r="R62" s="75"/>
      <c r="S62" s="75"/>
      <c r="T62" s="75"/>
      <c r="U62" s="84"/>
    </row>
    <row r="63" spans="1:21" s="195" customFormat="1" ht="12" customHeight="1" x14ac:dyDescent="0.2">
      <c r="A63" s="72" t="s">
        <v>167</v>
      </c>
      <c r="B63" s="242">
        <f>IFERROR(SUM(B58:T58)+B60+B61,0)</f>
        <v>0</v>
      </c>
      <c r="C63" s="242"/>
      <c r="D63" s="243"/>
      <c r="E63" s="40" t="s">
        <v>11</v>
      </c>
      <c r="F63" s="35"/>
      <c r="G63" s="35"/>
      <c r="H63" s="35"/>
      <c r="I63" s="35"/>
      <c r="J63" s="35"/>
      <c r="K63" s="35"/>
      <c r="L63" s="35"/>
      <c r="M63" s="35"/>
      <c r="N63" s="35"/>
      <c r="O63" s="35"/>
      <c r="P63" s="35"/>
      <c r="Q63" s="35"/>
      <c r="R63" s="35"/>
      <c r="S63" s="35"/>
      <c r="T63" s="75"/>
      <c r="U63" s="84"/>
    </row>
    <row r="64" spans="1:21" s="195" customFormat="1" ht="12" customHeight="1" x14ac:dyDescent="0.2">
      <c r="A64" s="72" t="s">
        <v>99</v>
      </c>
      <c r="B64" s="246">
        <f>IFERROR(B63/B5,0)</f>
        <v>0</v>
      </c>
      <c r="C64" s="246"/>
      <c r="D64" s="247"/>
      <c r="E64" s="40" t="s">
        <v>12</v>
      </c>
      <c r="F64" s="35"/>
      <c r="G64" s="35"/>
      <c r="H64" s="35"/>
      <c r="I64" s="35"/>
      <c r="J64" s="35"/>
      <c r="K64" s="35"/>
      <c r="L64" s="35"/>
      <c r="M64" s="35"/>
      <c r="N64" s="35"/>
      <c r="O64" s="35"/>
      <c r="P64" s="35"/>
      <c r="Q64" s="35"/>
      <c r="R64" s="35"/>
      <c r="S64" s="35"/>
      <c r="T64" s="75"/>
      <c r="U64" s="84"/>
    </row>
    <row r="65" spans="1:21" s="195" customFormat="1" ht="12" customHeight="1" x14ac:dyDescent="0.2">
      <c r="A65" s="75"/>
      <c r="B65" s="75"/>
      <c r="C65" s="75"/>
      <c r="D65" s="75"/>
      <c r="E65" s="75"/>
      <c r="F65" s="75"/>
      <c r="G65" s="75"/>
      <c r="H65" s="75"/>
      <c r="I65" s="75"/>
      <c r="J65" s="75"/>
      <c r="K65" s="75"/>
      <c r="L65" s="75"/>
      <c r="M65" s="75"/>
      <c r="N65" s="75"/>
      <c r="O65" s="75"/>
      <c r="P65" s="75"/>
      <c r="Q65" s="75"/>
      <c r="R65" s="75"/>
      <c r="S65" s="75"/>
      <c r="T65" s="75"/>
      <c r="U65" s="84"/>
    </row>
    <row r="70" spans="1:21" hidden="1" x14ac:dyDescent="0.2"/>
    <row r="71" spans="1:21" ht="15" hidden="1" customHeight="1" x14ac:dyDescent="0.2">
      <c r="A71" s="236" t="s">
        <v>251</v>
      </c>
      <c r="B71" s="236"/>
      <c r="C71" s="236"/>
      <c r="D71" s="236"/>
      <c r="E71" s="236"/>
      <c r="F71" s="236"/>
      <c r="G71" s="236"/>
      <c r="H71" s="236"/>
      <c r="I71" s="236"/>
      <c r="J71" s="236"/>
      <c r="K71" s="236"/>
      <c r="L71" s="236"/>
      <c r="M71" s="236"/>
      <c r="N71" s="236"/>
      <c r="O71" s="236"/>
      <c r="P71" s="236"/>
      <c r="Q71" s="236"/>
      <c r="R71" s="236"/>
      <c r="S71" s="236"/>
      <c r="T71" s="236"/>
      <c r="U71" s="236"/>
    </row>
    <row r="72" spans="1:21" ht="15" hidden="1" customHeight="1" x14ac:dyDescent="0.2">
      <c r="A72" s="236"/>
      <c r="B72" s="236"/>
      <c r="C72" s="236"/>
      <c r="D72" s="236"/>
      <c r="E72" s="236"/>
      <c r="F72" s="236"/>
      <c r="G72" s="236"/>
      <c r="H72" s="236"/>
      <c r="I72" s="236"/>
      <c r="J72" s="236"/>
      <c r="K72" s="236"/>
      <c r="L72" s="236"/>
      <c r="M72" s="236"/>
      <c r="N72" s="236"/>
      <c r="O72" s="236"/>
      <c r="P72" s="236"/>
      <c r="Q72" s="236"/>
      <c r="R72" s="236"/>
      <c r="S72" s="236"/>
      <c r="T72" s="236"/>
      <c r="U72" s="236"/>
    </row>
    <row r="73" spans="1:21" hidden="1" x14ac:dyDescent="0.2">
      <c r="A73" s="196" t="s">
        <v>249</v>
      </c>
      <c r="B73" s="197" cm="1">
        <f t="array" ref="B73">IF(B$10="Nee",0,o_Isol_Max_Orientatie(B8,B11))</f>
        <v>0</v>
      </c>
      <c r="C73" s="198" t="s">
        <v>12</v>
      </c>
      <c r="D73" s="198"/>
      <c r="E73" s="198"/>
      <c r="F73" s="197" cm="1">
        <f t="array" ref="F73">IF(F$10="Nee",0,o_Isol_Max_Orientatie(F8,F11))</f>
        <v>0</v>
      </c>
      <c r="G73" s="198" t="s">
        <v>12</v>
      </c>
      <c r="H73" s="198"/>
      <c r="I73" s="198"/>
      <c r="J73" s="197" cm="1">
        <f t="array" ref="J73">IF(J$10="Nee",0,o_Isol_Max_Orientatie(J8,J11))</f>
        <v>0</v>
      </c>
      <c r="K73" s="198" t="s">
        <v>12</v>
      </c>
      <c r="L73" s="198"/>
      <c r="M73" s="198"/>
      <c r="N73" s="197" cm="1">
        <f t="array" ref="N73">IF(N$10="Nee",0,o_Isol_Max_Orientatie(N8,N11))</f>
        <v>0</v>
      </c>
      <c r="O73" s="198" t="s">
        <v>12</v>
      </c>
      <c r="P73" s="198"/>
      <c r="Q73" s="198"/>
      <c r="R73" s="197" cm="1">
        <f t="array" ref="R73">IF(R$10="Nee",0,o_Isol_Max_Orientatie(R8,R11))</f>
        <v>0</v>
      </c>
      <c r="S73" s="198" t="s">
        <v>12</v>
      </c>
      <c r="T73" s="198"/>
      <c r="U73" s="198"/>
    </row>
    <row r="74" spans="1:21" hidden="1" x14ac:dyDescent="0.2">
      <c r="A74" s="196" t="s">
        <v>250</v>
      </c>
      <c r="B74" s="199" t="e" cm="1">
        <f t="array" ref="B74">VALUE(o_Tijdstip_Isol_Max_Orientatie(B8,B11))</f>
        <v>#VALUE!</v>
      </c>
      <c r="C74" s="198"/>
      <c r="D74" s="198"/>
      <c r="E74" s="198"/>
      <c r="F74" s="200" cm="1">
        <f t="array" ref="F74">VALUE(o_Tijdstip_Isol_Max_Orientatie(F8,F11))</f>
        <v>0.375</v>
      </c>
      <c r="G74" s="198"/>
      <c r="H74" s="198"/>
      <c r="I74" s="198"/>
      <c r="J74" s="200" cm="1">
        <f t="array" ref="J74">VALUE(o_Tijdstip_Isol_Max_Orientatie(J8,J11))</f>
        <v>0.58333333333333337</v>
      </c>
      <c r="K74" s="198"/>
      <c r="L74" s="198"/>
      <c r="M74" s="198"/>
      <c r="N74" s="200" cm="1">
        <f t="array" ref="N74">VALUE(o_Tijdstip_Isol_Max_Orientatie(N8,N11))</f>
        <v>0.625</v>
      </c>
      <c r="O74" s="198"/>
      <c r="P74" s="198"/>
      <c r="Q74" s="198"/>
      <c r="R74" s="200" cm="1">
        <f t="array" ref="R74">VALUE(o_Tijdstip_Isol_Max_Orientatie(R8,R11))</f>
        <v>0.5</v>
      </c>
      <c r="S74" s="198"/>
      <c r="T74" s="198"/>
      <c r="U74" s="198"/>
    </row>
    <row r="75" spans="1:21" hidden="1" x14ac:dyDescent="0.2">
      <c r="A75" s="196"/>
      <c r="B75" s="196"/>
      <c r="C75" s="196"/>
      <c r="D75" s="196"/>
      <c r="E75" s="196"/>
      <c r="F75" s="196"/>
      <c r="G75" s="196"/>
      <c r="H75" s="196"/>
      <c r="I75" s="196"/>
      <c r="J75" s="196"/>
      <c r="K75" s="196"/>
      <c r="L75" s="196"/>
      <c r="M75" s="196"/>
      <c r="N75" s="196"/>
      <c r="O75" s="196"/>
      <c r="P75" s="196"/>
      <c r="Q75" s="196"/>
      <c r="R75" s="196"/>
      <c r="S75" s="196"/>
      <c r="T75" s="196"/>
      <c r="U75" s="196"/>
    </row>
    <row r="76" spans="1:21" ht="13.5" hidden="1" x14ac:dyDescent="0.25">
      <c r="A76" s="196" t="s">
        <v>142</v>
      </c>
      <c r="B76" s="196"/>
      <c r="C76" s="196"/>
      <c r="D76" s="196" t="s">
        <v>284</v>
      </c>
      <c r="E76" s="196"/>
      <c r="F76" s="196"/>
      <c r="G76" s="196"/>
      <c r="H76" s="196"/>
      <c r="I76" s="196"/>
      <c r="J76" s="196"/>
      <c r="K76" s="196"/>
      <c r="L76" s="196"/>
      <c r="M76" s="196"/>
      <c r="N76" s="196"/>
      <c r="O76" s="196"/>
      <c r="P76" s="196"/>
      <c r="Q76" s="196"/>
      <c r="R76" s="196"/>
      <c r="S76" s="196"/>
      <c r="T76" s="196"/>
      <c r="U76" s="196"/>
    </row>
    <row r="77" spans="1:21" hidden="1" x14ac:dyDescent="0.2">
      <c r="A77" s="201">
        <v>0.375</v>
      </c>
      <c r="B77" s="197" cm="1">
        <f t="array" ref="B77">IFERROR((0.75*B$18*FLOOR(B$20,0.05)*0.9*B$35*B$38*o_Isol_Bij_Tijdstip($A77,B$8,B$11))+(0.75*D$18*FLOOR(D$20,0.05)*0.9*D$35*D$38*o_Isol_Bij_Tijdstip($A77,B$8,B$11)),0)</f>
        <v>0</v>
      </c>
      <c r="C77" s="196" t="s">
        <v>11</v>
      </c>
      <c r="D77" s="196">
        <v>24.7</v>
      </c>
      <c r="E77" s="196"/>
      <c r="F77" s="197" cm="1">
        <f t="array" ref="F77">IFERROR((0.75*F$18*FLOOR(F$20,0.05)*0.9*F$35*F$38*o_Isol_Bij_Tijdstip($A77,F$8,F$11))+(0.75*H$18*FLOOR(H$20,0.05)*0.9*H$35*H$38*o_Isol_Bij_Tijdstip($A77,F$8,F$11)),0)</f>
        <v>0</v>
      </c>
      <c r="G77" s="196" t="s">
        <v>11</v>
      </c>
      <c r="H77" s="196"/>
      <c r="I77" s="196"/>
      <c r="J77" s="197" cm="1">
        <f t="array" ref="J77">IFERROR((0.75*J$18*FLOOR(J$20,0.05)*0.9*J$35*J$38*o_Isol_Bij_Tijdstip($A77,J$8,J$11))+(0.75*L$18*FLOOR(L$20,0.05)*0.9*L$35*L$38*o_Isol_Bij_Tijdstip($A77,J$8,J$11)),0)</f>
        <v>0</v>
      </c>
      <c r="K77" s="196" t="s">
        <v>11</v>
      </c>
      <c r="L77" s="196"/>
      <c r="M77" s="196"/>
      <c r="N77" s="197" cm="1">
        <f t="array" ref="N77">IFERROR((0.75*N$18*FLOOR(N$20,0.05)*0.9*N$35*N$38*o_Isol_Bij_Tijdstip($A77,N$8,N$11))+(0.75*P$18*FLOOR(P$20,0.05)*0.9*P$35*P$38*o_Isol_Bij_Tijdstip($A77,N$8,N$11)),0)</f>
        <v>0</v>
      </c>
      <c r="O77" s="196" t="s">
        <v>11</v>
      </c>
      <c r="P77" s="196"/>
      <c r="Q77" s="196"/>
      <c r="R77" s="197" cm="1">
        <f t="array" ref="R77">IFERROR(IF(R$10="Nee",0,(0.75*R$18*FLOOR(R$20,0.05)*0.9*R$35*R$38*o_Isol_Bij_Tijdstip($A77,R$8,R$11))+(0.75*T$18*FLOOR(T$20,0.05)*0.9*T$35*T$38*o_Isol_Bij_Tijdstip($A77,R$8,R$11))),0)</f>
        <v>0</v>
      </c>
      <c r="S77" s="196" t="s">
        <v>11</v>
      </c>
      <c r="T77" s="197">
        <f t="shared" ref="T77:T86" si="0">B77+F77+J77+N77+R77</f>
        <v>0</v>
      </c>
      <c r="U77" s="196" t="s">
        <v>11</v>
      </c>
    </row>
    <row r="78" spans="1:21" hidden="1" x14ac:dyDescent="0.2">
      <c r="A78" s="201">
        <v>0.41666666666666669</v>
      </c>
      <c r="B78" s="197" cm="1">
        <f t="array" ref="B78">IFERROR((0.75*B$18*FLOOR(B$20,0.05)*0.9*B$35*B$38*o_Isol_Bij_Tijdstip($A78,B$8,B$11))+(0.75*D$18*FLOOR(D$20,0.05)*0.9*D$35*D$38*o_Isol_Bij_Tijdstip($A78,B$8,B$11)),0)</f>
        <v>0</v>
      </c>
      <c r="C78" s="196" t="s">
        <v>11</v>
      </c>
      <c r="D78" s="196">
        <v>26.9</v>
      </c>
      <c r="E78" s="196"/>
      <c r="F78" s="197" cm="1">
        <f t="array" ref="F78">IFERROR((0.75*F$18*FLOOR(F$20,0.05)*0.9*F$35*F$38*o_Isol_Bij_Tijdstip($A78,F$8,F$11))+(0.75*H$18*FLOOR(H$20,0.05)*0.9*H$35*H$38*o_Isol_Bij_Tijdstip($A78,F$8,F$11)),0)</f>
        <v>0</v>
      </c>
      <c r="G78" s="196" t="s">
        <v>11</v>
      </c>
      <c r="H78" s="196"/>
      <c r="I78" s="196"/>
      <c r="J78" s="197" cm="1">
        <f t="array" ref="J78">IFERROR((0.75*J$18*FLOOR(J$20,0.05)*0.9*J$35*J$38*o_Isol_Bij_Tijdstip($A78,J$8,J$11))+(0.75*L$18*FLOOR(L$20,0.05)*0.9*L$35*L$38*o_Isol_Bij_Tijdstip($A78,J$8,J$11)),0)</f>
        <v>0</v>
      </c>
      <c r="K78" s="196" t="s">
        <v>11</v>
      </c>
      <c r="L78" s="196"/>
      <c r="M78" s="196"/>
      <c r="N78" s="197" cm="1">
        <f t="array" ref="N78">IFERROR((0.75*N$18*FLOOR(N$20,0.05)*0.9*N$35*N$38*o_Isol_Bij_Tijdstip($A78,N$8,N$11))+(0.75*P$18*FLOOR(P$20,0.05)*0.9*P$35*P$38*o_Isol_Bij_Tijdstip($A78,N$8,N$11)),0)</f>
        <v>0</v>
      </c>
      <c r="O78" s="196" t="s">
        <v>11</v>
      </c>
      <c r="P78" s="196"/>
      <c r="Q78" s="196"/>
      <c r="R78" s="197" cm="1">
        <f t="array" ref="R78">IFERROR(IF(R$10="Nee",0,(0.75*R$18*FLOOR(R$20,0.05)*0.9*R$35*R$38*o_Isol_Bij_Tijdstip($A78,R$8,R$11))+(0.75*T$18*FLOOR(T$20,0.05)*0.9*T$35*T$38*o_Isol_Bij_Tijdstip($A78,R$8,R$11))),0)</f>
        <v>0</v>
      </c>
      <c r="S78" s="196" t="s">
        <v>11</v>
      </c>
      <c r="T78" s="197">
        <f t="shared" si="0"/>
        <v>0</v>
      </c>
      <c r="U78" s="196" t="s">
        <v>11</v>
      </c>
    </row>
    <row r="79" spans="1:21" hidden="1" x14ac:dyDescent="0.2">
      <c r="A79" s="201">
        <v>0.45833333333333331</v>
      </c>
      <c r="B79" s="197" cm="1">
        <f t="array" ref="B79">IFERROR((0.75*B$18*FLOOR(B$20,0.05)*0.9*B$35*B$38*o_Isol_Bij_Tijdstip($A79,B$8,B$11))+(0.75*D$18*FLOOR(D$20,0.05)*0.9*D$35*D$38*o_Isol_Bij_Tijdstip($A79,B$8,B$11)),0)</f>
        <v>0</v>
      </c>
      <c r="C79" s="196" t="s">
        <v>11</v>
      </c>
      <c r="D79" s="196">
        <v>28.2</v>
      </c>
      <c r="E79" s="196"/>
      <c r="F79" s="197" cm="1">
        <f t="array" ref="F79">IFERROR((0.75*F$18*FLOOR(F$20,0.05)*0.9*F$35*F$38*o_Isol_Bij_Tijdstip($A79,F$8,F$11))+(0.75*H$18*FLOOR(H$20,0.05)*0.9*H$35*H$38*o_Isol_Bij_Tijdstip($A79,F$8,F$11)),0)</f>
        <v>0</v>
      </c>
      <c r="G79" s="196" t="s">
        <v>11</v>
      </c>
      <c r="H79" s="196"/>
      <c r="I79" s="196"/>
      <c r="J79" s="197" cm="1">
        <f t="array" ref="J79">IFERROR((0.75*J$18*FLOOR(J$20,0.05)*0.9*J$35*J$38*o_Isol_Bij_Tijdstip($A79,J$8,J$11))+(0.75*L$18*FLOOR(L$20,0.05)*0.9*L$35*L$38*o_Isol_Bij_Tijdstip($A79,J$8,J$11)),0)</f>
        <v>0</v>
      </c>
      <c r="K79" s="196" t="s">
        <v>11</v>
      </c>
      <c r="L79" s="196"/>
      <c r="M79" s="196"/>
      <c r="N79" s="197" cm="1">
        <f t="array" ref="N79">IFERROR((0.75*N$18*FLOOR(N$20,0.05)*0.9*N$35*N$38*o_Isol_Bij_Tijdstip($A79,N$8,N$11))+(0.75*P$18*FLOOR(P$20,0.05)*0.9*P$35*P$38*o_Isol_Bij_Tijdstip($A79,N$8,N$11)),0)</f>
        <v>0</v>
      </c>
      <c r="O79" s="196" t="s">
        <v>11</v>
      </c>
      <c r="P79" s="196"/>
      <c r="Q79" s="196"/>
      <c r="R79" s="197" cm="1">
        <f t="array" ref="R79">IFERROR(IF(R$10="Nee",0,(0.75*R$18*FLOOR(R$20,0.05)*0.9*R$35*R$38*o_Isol_Bij_Tijdstip($A79,R$8,R$11))+(0.75*T$18*FLOOR(T$20,0.05)*0.9*T$35*T$38*o_Isol_Bij_Tijdstip($A79,R$8,R$11))),0)</f>
        <v>0</v>
      </c>
      <c r="S79" s="196" t="s">
        <v>11</v>
      </c>
      <c r="T79" s="197">
        <f t="shared" si="0"/>
        <v>0</v>
      </c>
      <c r="U79" s="196" t="s">
        <v>11</v>
      </c>
    </row>
    <row r="80" spans="1:21" hidden="1" x14ac:dyDescent="0.2">
      <c r="A80" s="201">
        <v>0.5</v>
      </c>
      <c r="B80" s="197" cm="1">
        <f t="array" ref="B80">IFERROR((0.75*B$18*FLOOR(B$20,0.05)*0.9*B$35*B$38*o_Isol_Bij_Tijdstip($A80,B$8,B$11))+(0.75*D$18*FLOOR(D$20,0.05)*0.9*D$35*D$38*o_Isol_Bij_Tijdstip($A80,B$8,B$11)),0)</f>
        <v>0</v>
      </c>
      <c r="C80" s="196" t="s">
        <v>11</v>
      </c>
      <c r="D80" s="196">
        <v>28.9</v>
      </c>
      <c r="E80" s="196"/>
      <c r="F80" s="197" cm="1">
        <f t="array" ref="F80">IFERROR((0.75*F$18*FLOOR(F$20,0.05)*0.9*F$35*F$38*o_Isol_Bij_Tijdstip($A80,F$8,F$11))+(0.75*H$18*FLOOR(H$20,0.05)*0.9*H$35*H$38*o_Isol_Bij_Tijdstip($A80,F$8,F$11)),0)</f>
        <v>0</v>
      </c>
      <c r="G80" s="196" t="s">
        <v>11</v>
      </c>
      <c r="H80" s="196"/>
      <c r="I80" s="196"/>
      <c r="J80" s="197" cm="1">
        <f t="array" ref="J80">IFERROR((0.75*J$18*FLOOR(J$20,0.05)*0.9*J$35*J$38*o_Isol_Bij_Tijdstip($A80,J$8,J$11))+(0.75*L$18*FLOOR(L$20,0.05)*0.9*L$35*L$38*o_Isol_Bij_Tijdstip($A80,J$8,J$11)),0)</f>
        <v>0</v>
      </c>
      <c r="K80" s="196" t="s">
        <v>11</v>
      </c>
      <c r="L80" s="196"/>
      <c r="M80" s="196"/>
      <c r="N80" s="197" cm="1">
        <f t="array" ref="N80">IFERROR((0.75*N$18*FLOOR(N$20,0.05)*0.9*N$35*N$38*o_Isol_Bij_Tijdstip($A80,N$8,N$11))+(0.75*P$18*FLOOR(P$20,0.05)*0.9*P$35*P$38*o_Isol_Bij_Tijdstip($A80,N$8,N$11)),0)</f>
        <v>0</v>
      </c>
      <c r="O80" s="196" t="s">
        <v>11</v>
      </c>
      <c r="P80" s="196"/>
      <c r="Q80" s="196"/>
      <c r="R80" s="197" cm="1">
        <f t="array" ref="R80">IFERROR(IF(R$10="Nee",0,(0.75*R$18*FLOOR(R$20,0.05)*0.9*R$35*R$38*o_Isol_Bij_Tijdstip($A80,R$8,R$11))+(0.75*T$18*FLOOR(T$20,0.05)*0.9*T$35*T$38*o_Isol_Bij_Tijdstip($A80,R$8,R$11))),0)</f>
        <v>0</v>
      </c>
      <c r="S80" s="196" t="s">
        <v>11</v>
      </c>
      <c r="T80" s="197">
        <f t="shared" si="0"/>
        <v>0</v>
      </c>
      <c r="U80" s="196" t="s">
        <v>11</v>
      </c>
    </row>
    <row r="81" spans="1:21" hidden="1" x14ac:dyDescent="0.2">
      <c r="A81" s="201">
        <v>0.54166666666666696</v>
      </c>
      <c r="B81" s="197" cm="1">
        <f t="array" ref="B81">IFERROR((0.75*B$18*FLOOR(B$20,0.05)*0.9*B$35*B$38*o_Isol_Bij_Tijdstip($A81,B$8,B$11))+(0.75*D$18*FLOOR(D$20,0.05)*0.9*D$35*D$38*o_Isol_Bij_Tijdstip($A81,B$8,B$11)),0)</f>
        <v>0</v>
      </c>
      <c r="C81" s="196" t="s">
        <v>11</v>
      </c>
      <c r="D81" s="196">
        <v>29.7</v>
      </c>
      <c r="E81" s="196"/>
      <c r="F81" s="197" cm="1">
        <f t="array" ref="F81">IFERROR((0.75*F$18*FLOOR(F$20,0.05)*0.9*F$35*F$38*o_Isol_Bij_Tijdstip($A81,F$8,F$11))+(0.75*H$18*FLOOR(H$20,0.05)*0.9*H$35*H$38*o_Isol_Bij_Tijdstip($A81,F$8,F$11)),0)</f>
        <v>0</v>
      </c>
      <c r="G81" s="196" t="s">
        <v>11</v>
      </c>
      <c r="H81" s="196"/>
      <c r="I81" s="196"/>
      <c r="J81" s="197" cm="1">
        <f t="array" ref="J81">IFERROR((0.75*J$18*FLOOR(J$20,0.05)*0.9*J$35*J$38*o_Isol_Bij_Tijdstip($A81,J$8,J$11))+(0.75*L$18*FLOOR(L$20,0.05)*0.9*L$35*L$38*o_Isol_Bij_Tijdstip($A81,J$8,J$11)),0)</f>
        <v>0</v>
      </c>
      <c r="K81" s="196" t="s">
        <v>11</v>
      </c>
      <c r="L81" s="196"/>
      <c r="M81" s="196"/>
      <c r="N81" s="197" cm="1">
        <f t="array" ref="N81">IFERROR((0.75*N$18*FLOOR(N$20,0.05)*0.9*N$35*N$38*o_Isol_Bij_Tijdstip($A81,N$8,N$11))+(0.75*P$18*FLOOR(P$20,0.05)*0.9*P$35*P$38*o_Isol_Bij_Tijdstip($A81,N$8,N$11)),0)</f>
        <v>0</v>
      </c>
      <c r="O81" s="196" t="s">
        <v>11</v>
      </c>
      <c r="P81" s="196"/>
      <c r="Q81" s="196"/>
      <c r="R81" s="197" cm="1">
        <f t="array" ref="R81">IFERROR(IF(R$10="Nee",0,(0.75*R$18*FLOOR(R$20,0.05)*0.9*R$35*R$38*o_Isol_Bij_Tijdstip($A81,R$8,R$11))+(0.75*T$18*FLOOR(T$20,0.05)*0.9*T$35*T$38*o_Isol_Bij_Tijdstip($A81,R$8,R$11))),0)</f>
        <v>0</v>
      </c>
      <c r="S81" s="196" t="s">
        <v>11</v>
      </c>
      <c r="T81" s="197">
        <f t="shared" si="0"/>
        <v>0</v>
      </c>
      <c r="U81" s="196" t="s">
        <v>11</v>
      </c>
    </row>
    <row r="82" spans="1:21" hidden="1" x14ac:dyDescent="0.2">
      <c r="A82" s="201">
        <v>0.58333333333333404</v>
      </c>
      <c r="B82" s="197" cm="1">
        <f t="array" ref="B82">IFERROR((0.75*B$18*FLOOR(B$20,0.05)*0.9*B$35*B$38*o_Isol_Bij_Tijdstip($A82,B$8,B$11))+(0.75*D$18*FLOOR(D$20,0.05)*0.9*D$35*D$38*o_Isol_Bij_Tijdstip($A82,B$8,B$11)),0)</f>
        <v>0</v>
      </c>
      <c r="C82" s="196" t="s">
        <v>11</v>
      </c>
      <c r="D82" s="196">
        <v>29.9</v>
      </c>
      <c r="E82" s="196"/>
      <c r="F82" s="197" cm="1">
        <f t="array" ref="F82">IFERROR((0.75*F$18*FLOOR(F$20,0.05)*0.9*F$35*F$38*o_Isol_Bij_Tijdstip($A82,F$8,F$11))+(0.75*H$18*FLOOR(H$20,0.05)*0.9*H$35*H$38*o_Isol_Bij_Tijdstip($A82,F$8,F$11)),0)</f>
        <v>0</v>
      </c>
      <c r="G82" s="196" t="s">
        <v>11</v>
      </c>
      <c r="H82" s="196"/>
      <c r="I82" s="196"/>
      <c r="J82" s="197" cm="1">
        <f t="array" ref="J82">IFERROR((0.75*J$18*FLOOR(J$20,0.05)*0.9*J$35*J$38*o_Isol_Bij_Tijdstip($A82,J$8,J$11))+(0.75*L$18*FLOOR(L$20,0.05)*0.9*L$35*L$38*o_Isol_Bij_Tijdstip($A82,J$8,J$11)),0)</f>
        <v>0</v>
      </c>
      <c r="K82" s="196" t="s">
        <v>11</v>
      </c>
      <c r="L82" s="196"/>
      <c r="M82" s="196"/>
      <c r="N82" s="197" cm="1">
        <f t="array" ref="N82">IFERROR((0.75*N$18*FLOOR(N$20,0.05)*0.9*N$35*N$38*o_Isol_Bij_Tijdstip($A82,N$8,N$11))+(0.75*P$18*FLOOR(P$20,0.05)*0.9*P$35*P$38*o_Isol_Bij_Tijdstip($A82,N$8,N$11)),0)</f>
        <v>0</v>
      </c>
      <c r="O82" s="196" t="s">
        <v>11</v>
      </c>
      <c r="P82" s="196"/>
      <c r="Q82" s="196"/>
      <c r="R82" s="197" cm="1">
        <f t="array" ref="R82">IFERROR(IF(R$10="Nee",0,(0.75*R$18*FLOOR(R$20,0.05)*0.9*R$35*R$38*o_Isol_Bij_Tijdstip($A82,R$8,R$11))+(0.75*T$18*FLOOR(T$20,0.05)*0.9*T$35*T$38*o_Isol_Bij_Tijdstip($A82,R$8,R$11))),0)</f>
        <v>0</v>
      </c>
      <c r="S82" s="196" t="s">
        <v>11</v>
      </c>
      <c r="T82" s="197">
        <f t="shared" si="0"/>
        <v>0</v>
      </c>
      <c r="U82" s="196" t="s">
        <v>11</v>
      </c>
    </row>
    <row r="83" spans="1:21" hidden="1" x14ac:dyDescent="0.2">
      <c r="A83" s="201">
        <v>0.625000000000001</v>
      </c>
      <c r="B83" s="197" cm="1">
        <f t="array" ref="B83">IFERROR((0.75*B$18*FLOOR(B$20,0.05)*0.9*B$35*B$38*o_Isol_Bij_Tijdstip($A83,B$8,B$11))+(0.75*D$18*FLOOR(D$20,0.05)*0.9*D$35*D$38*o_Isol_Bij_Tijdstip($A83,B$8,B$11)),0)</f>
        <v>0</v>
      </c>
      <c r="C83" s="196" t="s">
        <v>11</v>
      </c>
      <c r="D83" s="196">
        <v>29.8</v>
      </c>
      <c r="E83" s="196"/>
      <c r="F83" s="197" cm="1">
        <f t="array" ref="F83">IFERROR((0.75*F$18*FLOOR(F$20,0.05)*0.9*F$35*F$38*o_Isol_Bij_Tijdstip($A83,F$8,F$11))+(0.75*H$18*FLOOR(H$20,0.05)*0.9*H$35*H$38*o_Isol_Bij_Tijdstip($A83,F$8,F$11)),0)</f>
        <v>0</v>
      </c>
      <c r="G83" s="196" t="s">
        <v>11</v>
      </c>
      <c r="H83" s="196"/>
      <c r="I83" s="196"/>
      <c r="J83" s="197" cm="1">
        <f t="array" ref="J83">IFERROR((0.75*J$18*FLOOR(J$20,0.05)*0.9*J$35*J$38*o_Isol_Bij_Tijdstip($A83,J$8,J$11))+(0.75*L$18*FLOOR(L$20,0.05)*0.9*L$35*L$38*o_Isol_Bij_Tijdstip($A83,J$8,J$11)),0)</f>
        <v>0</v>
      </c>
      <c r="K83" s="196" t="s">
        <v>11</v>
      </c>
      <c r="L83" s="196"/>
      <c r="M83" s="196"/>
      <c r="N83" s="197" cm="1">
        <f t="array" ref="N83">IFERROR((0.75*N$18*FLOOR(N$20,0.05)*0.9*N$35*N$38*o_Isol_Bij_Tijdstip($A83,N$8,N$11))+(0.75*P$18*FLOOR(P$20,0.05)*0.9*P$35*P$38*o_Isol_Bij_Tijdstip($A83,N$8,N$11)),0)</f>
        <v>0</v>
      </c>
      <c r="O83" s="196" t="s">
        <v>11</v>
      </c>
      <c r="P83" s="196"/>
      <c r="Q83" s="196"/>
      <c r="R83" s="197" cm="1">
        <f t="array" ref="R83">IFERROR(IF(R$10="Nee",0,(0.75*R$18*FLOOR(R$20,0.05)*0.9*R$35*R$38*o_Isol_Bij_Tijdstip($A83,R$8,R$11))+(0.75*T$18*FLOOR(T$20,0.05)*0.9*T$35*T$38*o_Isol_Bij_Tijdstip($A83,R$8,R$11))),0)</f>
        <v>0</v>
      </c>
      <c r="S83" s="196" t="s">
        <v>11</v>
      </c>
      <c r="T83" s="197">
        <f t="shared" si="0"/>
        <v>0</v>
      </c>
      <c r="U83" s="196" t="s">
        <v>11</v>
      </c>
    </row>
    <row r="84" spans="1:21" hidden="1" x14ac:dyDescent="0.2">
      <c r="A84" s="201">
        <v>0.66666666666666796</v>
      </c>
      <c r="B84" s="197" cm="1">
        <f t="array" ref="B84">IFERROR((0.75*B$18*FLOOR(B$20,0.05)*0.9*B$35*B$38*o_Isol_Bij_Tijdstip($A84,B$8,B$11))+(0.75*D$18*FLOOR(D$20,0.05)*0.9*D$35*D$38*o_Isol_Bij_Tijdstip($A84,B$8,B$11)),0)</f>
        <v>0</v>
      </c>
      <c r="C84" s="196" t="s">
        <v>11</v>
      </c>
      <c r="D84" s="196">
        <v>30.4</v>
      </c>
      <c r="E84" s="196"/>
      <c r="F84" s="197" cm="1">
        <f t="array" ref="F84">IFERROR((0.75*F$18*FLOOR(F$20,0.05)*0.9*F$35*F$38*o_Isol_Bij_Tijdstip($A84,F$8,F$11))+(0.75*H$18*FLOOR(H$20,0.05)*0.9*H$35*H$38*o_Isol_Bij_Tijdstip($A84,F$8,F$11)),0)</f>
        <v>0</v>
      </c>
      <c r="G84" s="196" t="s">
        <v>11</v>
      </c>
      <c r="H84" s="196"/>
      <c r="I84" s="196"/>
      <c r="J84" s="197" cm="1">
        <f t="array" ref="J84">IFERROR((0.75*J$18*FLOOR(J$20,0.05)*0.9*J$35*J$38*o_Isol_Bij_Tijdstip($A84,J$8,J$11))+(0.75*L$18*FLOOR(L$20,0.05)*0.9*L$35*L$38*o_Isol_Bij_Tijdstip($A84,J$8,J$11)),0)</f>
        <v>0</v>
      </c>
      <c r="K84" s="196" t="s">
        <v>11</v>
      </c>
      <c r="L84" s="196"/>
      <c r="M84" s="196"/>
      <c r="N84" s="197" cm="1">
        <f t="array" ref="N84">IFERROR((0.75*N$18*FLOOR(N$20,0.05)*0.9*N$35*N$38*o_Isol_Bij_Tijdstip($A84,N$8,N$11))+(0.75*P$18*FLOOR(P$20,0.05)*0.9*P$35*P$38*o_Isol_Bij_Tijdstip($A84,N$8,N$11)),0)</f>
        <v>0</v>
      </c>
      <c r="O84" s="196" t="s">
        <v>11</v>
      </c>
      <c r="P84" s="196"/>
      <c r="Q84" s="196"/>
      <c r="R84" s="197" cm="1">
        <f t="array" ref="R84">IFERROR(IF(R$10="Nee",0,(0.75*R$18*FLOOR(R$20,0.05)*0.9*R$35*R$38*o_Isol_Bij_Tijdstip($A84,R$8,R$11))+(0.75*T$18*FLOOR(T$20,0.05)*0.9*T$35*T$38*o_Isol_Bij_Tijdstip($A84,R$8,R$11))),0)</f>
        <v>0</v>
      </c>
      <c r="S84" s="196" t="s">
        <v>11</v>
      </c>
      <c r="T84" s="197">
        <f t="shared" si="0"/>
        <v>0</v>
      </c>
      <c r="U84" s="196" t="s">
        <v>11</v>
      </c>
    </row>
    <row r="85" spans="1:21" hidden="1" x14ac:dyDescent="0.2">
      <c r="A85" s="201">
        <v>0.70833333333333504</v>
      </c>
      <c r="B85" s="197" cm="1">
        <f t="array" ref="B85">IFERROR((0.75*B$18*FLOOR(B$20,0.05)*0.9*B$35*B$38*o_Isol_Bij_Tijdstip($A85,B$8,B$11))+(0.75*D$18*FLOOR(D$20,0.05)*0.9*D$35*D$38*o_Isol_Bij_Tijdstip($A85,B$8,B$11)),0)</f>
        <v>0</v>
      </c>
      <c r="C85" s="196" t="s">
        <v>11</v>
      </c>
      <c r="D85" s="196">
        <v>30.6</v>
      </c>
      <c r="E85" s="196"/>
      <c r="F85" s="197" cm="1">
        <f t="array" ref="F85">IFERROR((0.75*F$18*FLOOR(F$20,0.05)*0.9*F$35*F$38*o_Isol_Bij_Tijdstip($A85,F$8,F$11))+(0.75*H$18*FLOOR(H$20,0.05)*0.9*H$35*H$38*o_Isol_Bij_Tijdstip($A85,F$8,F$11)),0)</f>
        <v>0</v>
      </c>
      <c r="G85" s="196" t="s">
        <v>11</v>
      </c>
      <c r="H85" s="196"/>
      <c r="I85" s="196"/>
      <c r="J85" s="197" cm="1">
        <f t="array" ref="J85">IFERROR((0.75*J$18*FLOOR(J$20,0.05)*0.9*J$35*J$38*o_Isol_Bij_Tijdstip($A85,J$8,J$11))+(0.75*L$18*FLOOR(L$20,0.05)*0.9*L$35*L$38*o_Isol_Bij_Tijdstip($A85,J$8,J$11)),0)</f>
        <v>0</v>
      </c>
      <c r="K85" s="196" t="s">
        <v>11</v>
      </c>
      <c r="L85" s="196"/>
      <c r="M85" s="196"/>
      <c r="N85" s="197" cm="1">
        <f t="array" ref="N85">IFERROR((0.75*N$18*FLOOR(N$20,0.05)*0.9*N$35*N$38*o_Isol_Bij_Tijdstip($A85,N$8,N$11))+(0.75*P$18*FLOOR(P$20,0.05)*0.9*P$35*P$38*o_Isol_Bij_Tijdstip($A85,N$8,N$11)),0)</f>
        <v>0</v>
      </c>
      <c r="O85" s="196" t="s">
        <v>11</v>
      </c>
      <c r="P85" s="196"/>
      <c r="Q85" s="196"/>
      <c r="R85" s="197" cm="1">
        <f t="array" ref="R85">IFERROR(IF(R$10="Nee",0,(0.75*R$18*FLOOR(R$20,0.05)*0.9*R$35*R$38*o_Isol_Bij_Tijdstip($A85,R$8,R$11))+(0.75*T$18*FLOOR(T$20,0.05)*0.9*T$35*T$38*o_Isol_Bij_Tijdstip($A85,R$8,R$11))),0)</f>
        <v>0</v>
      </c>
      <c r="S85" s="196" t="s">
        <v>11</v>
      </c>
      <c r="T85" s="197">
        <f t="shared" si="0"/>
        <v>0</v>
      </c>
      <c r="U85" s="196" t="s">
        <v>11</v>
      </c>
    </row>
    <row r="86" spans="1:21" hidden="1" x14ac:dyDescent="0.2">
      <c r="A86" s="201">
        <v>0.750000000000002</v>
      </c>
      <c r="B86" s="197" cm="1">
        <f t="array" ref="B86">IFERROR((0.75*B$18*FLOOR(B$20,0.05)*0.9*B$35*B$38*o_Isol_Bij_Tijdstip($A86,B$8,B$11))+(0.75*D$18*FLOOR(D$20,0.05)*0.9*D$35*D$38*o_Isol_Bij_Tijdstip($A86,B$8,B$11)),0)</f>
        <v>0</v>
      </c>
      <c r="C86" s="196" t="s">
        <v>11</v>
      </c>
      <c r="D86" s="196">
        <v>30.1</v>
      </c>
      <c r="E86" s="196"/>
      <c r="F86" s="197" cm="1">
        <f t="array" ref="F86">IFERROR((0.75*F$18*FLOOR(F$20,0.05)*0.9*F$35*F$38*o_Isol_Bij_Tijdstip($A86,F$8,F$11))+(0.75*H$18*FLOOR(H$20,0.05)*0.9*H$35*H$38*o_Isol_Bij_Tijdstip($A86,F$8,F$11)),0)</f>
        <v>0</v>
      </c>
      <c r="G86" s="196" t="s">
        <v>11</v>
      </c>
      <c r="H86" s="196"/>
      <c r="I86" s="196"/>
      <c r="J86" s="197" cm="1">
        <f t="array" ref="J86">IFERROR((0.75*J$18*FLOOR(J$20,0.05)*0.9*J$35*J$38*o_Isol_Bij_Tijdstip($A86,J$8,J$11))+(0.75*L$18*FLOOR(L$20,0.05)*0.9*L$35*L$38*o_Isol_Bij_Tijdstip($A86,J$8,J$11)),0)</f>
        <v>0</v>
      </c>
      <c r="K86" s="196" t="s">
        <v>11</v>
      </c>
      <c r="L86" s="196"/>
      <c r="M86" s="196"/>
      <c r="N86" s="197" cm="1">
        <f t="array" ref="N86">IFERROR((0.75*N$18*FLOOR(N$20,0.05)*0.9*N$35*N$38*o_Isol_Bij_Tijdstip($A86,N$8,N$11))+(0.75*P$18*FLOOR(P$20,0.05)*0.9*P$35*P$38*o_Isol_Bij_Tijdstip($A86,N$8,N$11)),0)</f>
        <v>0</v>
      </c>
      <c r="O86" s="196" t="s">
        <v>11</v>
      </c>
      <c r="P86" s="196"/>
      <c r="Q86" s="196"/>
      <c r="R86" s="197" cm="1">
        <f t="array" ref="R86">IFERROR(IF(R$10="Nee",0,(0.75*R$18*FLOOR(R$20,0.05)*0.9*R$35*R$38*o_Isol_Bij_Tijdstip($A86,R$8,R$11))+(0.75*T$18*FLOOR(T$20,0.05)*0.9*T$35*T$38*o_Isol_Bij_Tijdstip($A86,R$8,R$11))),0)</f>
        <v>0</v>
      </c>
      <c r="S86" s="196" t="s">
        <v>11</v>
      </c>
      <c r="T86" s="197">
        <f t="shared" si="0"/>
        <v>0</v>
      </c>
      <c r="U86" s="196" t="s">
        <v>11</v>
      </c>
    </row>
    <row r="87" spans="1:21" hidden="1" x14ac:dyDescent="0.2">
      <c r="A87" s="201"/>
      <c r="B87" s="196"/>
      <c r="C87" s="196"/>
      <c r="D87" s="196"/>
      <c r="E87" s="196"/>
      <c r="F87" s="196"/>
      <c r="G87" s="196"/>
      <c r="H87" s="196"/>
      <c r="I87" s="196"/>
      <c r="J87" s="196"/>
      <c r="K87" s="196"/>
      <c r="L87" s="196"/>
      <c r="M87" s="196"/>
      <c r="N87" s="196"/>
      <c r="O87" s="196"/>
      <c r="P87" s="196"/>
      <c r="Q87" s="196"/>
      <c r="R87" s="196"/>
      <c r="S87" s="196"/>
      <c r="T87" s="196"/>
      <c r="U87" s="196"/>
    </row>
    <row r="88" spans="1:21" hidden="1" x14ac:dyDescent="0.2">
      <c r="A88" s="196" t="s">
        <v>151</v>
      </c>
      <c r="B88" s="200" t="str">
        <f>IF(MAX(T77:T86)=0,"Geen glas aanwezig",_xlfn.XLOOKUP(MAX(T77:T86),T77:T86,A77:A86,"nvt"))</f>
        <v>Geen glas aanwezig</v>
      </c>
      <c r="C88" s="196"/>
      <c r="D88" s="196"/>
      <c r="E88" s="196"/>
      <c r="F88" s="196"/>
      <c r="G88" s="196"/>
      <c r="H88" s="196"/>
      <c r="I88" s="196"/>
      <c r="J88" s="196"/>
      <c r="K88" s="196"/>
      <c r="L88" s="196"/>
      <c r="M88" s="196"/>
      <c r="N88" s="196"/>
      <c r="O88" s="196"/>
      <c r="P88" s="196"/>
      <c r="Q88" s="196"/>
      <c r="R88" s="196"/>
      <c r="S88" s="196"/>
      <c r="T88" s="196"/>
      <c r="U88" s="196"/>
    </row>
    <row r="89" spans="1:21" hidden="1" x14ac:dyDescent="0.2"/>
    <row r="90" spans="1:21" hidden="1" x14ac:dyDescent="0.2"/>
    <row r="91" spans="1:21" hidden="1" x14ac:dyDescent="0.2"/>
    <row r="92" spans="1:21" hidden="1" x14ac:dyDescent="0.2"/>
    <row r="93" spans="1:21" hidden="1" x14ac:dyDescent="0.2"/>
    <row r="94" spans="1:21" hidden="1" x14ac:dyDescent="0.2"/>
    <row r="95" spans="1:21" hidden="1" x14ac:dyDescent="0.2"/>
  </sheetData>
  <sheetProtection algorithmName="SHA-512" hashValue="UK0En39LsSY0GaS65sgjzmhOPgCQXbwu6634OKDAjJxb4Yocng3l0s4ECxYrq+w1uVYOni/I7/ljbrpveS6HBQ==" saltValue="gAjZzT09aXLwRJw2CyYcUA==" spinCount="100000" sheet="1" objects="1" scenarios="1" selectLockedCells="1"/>
  <mergeCells count="41">
    <mergeCell ref="B60:D60"/>
    <mergeCell ref="B61:D61"/>
    <mergeCell ref="B63:D63"/>
    <mergeCell ref="B64:D64"/>
    <mergeCell ref="B57:D57"/>
    <mergeCell ref="F57:H57"/>
    <mergeCell ref="J57:L57"/>
    <mergeCell ref="N57:P57"/>
    <mergeCell ref="R57:T57"/>
    <mergeCell ref="B58:D58"/>
    <mergeCell ref="F58:H58"/>
    <mergeCell ref="J58:L58"/>
    <mergeCell ref="N58:P58"/>
    <mergeCell ref="R58:T58"/>
    <mergeCell ref="R41:T41"/>
    <mergeCell ref="B56:D56"/>
    <mergeCell ref="F56:H56"/>
    <mergeCell ref="J56:L56"/>
    <mergeCell ref="N56:P56"/>
    <mergeCell ref="R56:T56"/>
    <mergeCell ref="B55:D55"/>
    <mergeCell ref="F55:H55"/>
    <mergeCell ref="J55:L55"/>
    <mergeCell ref="N55:P55"/>
    <mergeCell ref="R55:T55"/>
    <mergeCell ref="A71:U72"/>
    <mergeCell ref="A1:U1"/>
    <mergeCell ref="B7:D7"/>
    <mergeCell ref="F7:H7"/>
    <mergeCell ref="J7:L7"/>
    <mergeCell ref="N7:P7"/>
    <mergeCell ref="R7:U7"/>
    <mergeCell ref="B42:D42"/>
    <mergeCell ref="F42:H42"/>
    <mergeCell ref="J42:L42"/>
    <mergeCell ref="N42:P42"/>
    <mergeCell ref="R42:T42"/>
    <mergeCell ref="B41:D41"/>
    <mergeCell ref="F41:H41"/>
    <mergeCell ref="J41:L41"/>
    <mergeCell ref="N41:P41"/>
  </mergeCells>
  <conditionalFormatting sqref="B77:B86">
    <cfRule type="colorScale" priority="6">
      <colorScale>
        <cfvo type="min"/>
        <cfvo type="percentile" val="50"/>
        <cfvo type="max"/>
        <color rgb="FF61D6FF"/>
        <color rgb="FFFFD85D"/>
        <color rgb="FFFF6D6D"/>
      </colorScale>
    </cfRule>
  </conditionalFormatting>
  <conditionalFormatting sqref="T77:T86">
    <cfRule type="colorScale" priority="5">
      <colorScale>
        <cfvo type="min"/>
        <cfvo type="percentile" val="50"/>
        <cfvo type="max"/>
        <color rgb="FF61D6FF"/>
        <color rgb="FFFFD85D"/>
        <color rgb="FFFF6D6D"/>
      </colorScale>
    </cfRule>
  </conditionalFormatting>
  <conditionalFormatting sqref="F77:F86">
    <cfRule type="colorScale" priority="4">
      <colorScale>
        <cfvo type="min"/>
        <cfvo type="percentile" val="50"/>
        <cfvo type="max"/>
        <color rgb="FF61D6FF"/>
        <color rgb="FFFFD85D"/>
        <color rgb="FFFF6D6D"/>
      </colorScale>
    </cfRule>
  </conditionalFormatting>
  <conditionalFormatting sqref="J77:J86">
    <cfRule type="colorScale" priority="3">
      <colorScale>
        <cfvo type="min"/>
        <cfvo type="percentile" val="50"/>
        <cfvo type="max"/>
        <color rgb="FF61D6FF"/>
        <color rgb="FFFFD85D"/>
        <color rgb="FFFF6D6D"/>
      </colorScale>
    </cfRule>
  </conditionalFormatting>
  <conditionalFormatting sqref="N77:N86">
    <cfRule type="colorScale" priority="2">
      <colorScale>
        <cfvo type="min"/>
        <cfvo type="percentile" val="50"/>
        <cfvo type="max"/>
        <color rgb="FF61D6FF"/>
        <color rgb="FFFFD85D"/>
        <color rgb="FFFF6D6D"/>
      </colorScale>
    </cfRule>
  </conditionalFormatting>
  <conditionalFormatting sqref="R77:R86">
    <cfRule type="colorScale" priority="1">
      <colorScale>
        <cfvo type="min"/>
        <cfvo type="percentile" val="50"/>
        <cfvo type="max"/>
        <color rgb="FF61D6FF"/>
        <color rgb="FFFFD85D"/>
        <color rgb="FFFF6D6D"/>
      </colorScale>
    </cfRule>
  </conditionalFormatting>
  <dataValidations count="5">
    <dataValidation type="list" allowBlank="1" showInputMessage="1" showErrorMessage="1" sqref="B4" xr:uid="{E32983CD-89BD-4786-886B-7D4979D41F15}">
      <formula1>"Woonvertrek, Andere verblijfsruimte"</formula1>
    </dataValidation>
    <dataValidation type="list" allowBlank="1" showInputMessage="1" showErrorMessage="1" sqref="P30 L30 D30 N30 H30 F30 J30 B30" xr:uid="{D6BCD2E2-7E1B-4DCC-98A3-1558CCC47F12}">
      <formula1>"Links,Rechts,Beide zijden"</formula1>
    </dataValidation>
    <dataValidation type="whole" allowBlank="1" showErrorMessage="1" error="Een platdak heeft een helling van maximaal 15°, voor daken in bij gevels op de juiste orientatie" sqref="R11" xr:uid="{CC15FCA5-1D57-48DB-B5A2-85280F8BEE9C}">
      <formula1>0</formula1>
      <formula2>15</formula2>
    </dataValidation>
    <dataValidation type="whole" allowBlank="1" showErrorMessage="1" error="Een helling &lt; 15° is en platdak voer deze bij kolom R in. _x000a_90° is de maximale invoerwaarde" sqref="H11 D11 L10:L11 B11 F11 J11 K8:M9 O8:Q10 T11 N11 K10 M10 P11:P12 Q11:Q16 P15:P16" xr:uid="{BFB1B7CF-3BAF-40FD-9154-7A7249ED5E8A}">
      <formula1>15</formula1>
      <formula2>90</formula2>
    </dataValidation>
    <dataValidation type="list" allowBlank="1" showInputMessage="1" showErrorMessage="1" sqref="F10 R10 J10 N10 B10" xr:uid="{49BFAF2B-6E59-4116-ABC0-9CBA52B38331}">
      <formula1>"Nee,Ja"</formula1>
    </dataValidation>
  </dataValidations>
  <pageMargins left="0.23622047244094491" right="0.23622047244094491" top="0.74803149606299213" bottom="0.74803149606299213" header="0.31496062992125984" footer="0.31496062992125984"/>
  <pageSetup paperSize="9" scale="48" orientation="landscape" r:id="rId1"/>
  <headerFooter alignWithMargins="0">
    <oddHeader>&amp;CREKENTOOL VEREENVOUDIGDE BEPALINGSMETHODE KOELBEHOEFTE (BIJLAGE AA - VERSIE 2025 -NTA 8800)&amp;Rversie 2025.04 d.d. 09-04-2025</oddHeader>
    <oddFooter>&amp;LPrint datum:&amp;D &amp;T_x000D_&amp;1#&amp;"Calibri"&amp;10&amp;K000000 Intern gebruik&amp;C&amp;F&amp;R&amp;P van &amp;N</oddFooter>
  </headerFooter>
  <drawing r:id="rId2"/>
  <legacyDrawing r:id="rId3"/>
  <controls>
    <mc:AlternateContent xmlns:mc="http://schemas.openxmlformats.org/markup-compatibility/2006">
      <mc:Choice Requires="x14">
        <control shapeId="18447" r:id="rId4" name="CommandButton1">
          <controlPr defaultSize="0" autoLine="0" r:id="rId5">
            <anchor moveWithCells="1">
              <from>
                <xdr:col>3</xdr:col>
                <xdr:colOff>209550</xdr:colOff>
                <xdr:row>1</xdr:row>
                <xdr:rowOff>133350</xdr:rowOff>
              </from>
              <to>
                <xdr:col>5</xdr:col>
                <xdr:colOff>38100</xdr:colOff>
                <xdr:row>4</xdr:row>
                <xdr:rowOff>9525</xdr:rowOff>
              </to>
            </anchor>
          </controlPr>
        </control>
      </mc:Choice>
      <mc:Fallback>
        <control shapeId="18447" r:id="rId4" name="CommandButton1"/>
      </mc:Fallback>
    </mc:AlternateContent>
  </controls>
  <extLst>
    <ext xmlns:x14="http://schemas.microsoft.com/office/spreadsheetml/2009/9/main" uri="{CCE6A557-97BC-4b89-ADB6-D9C93CAAB3DF}">
      <x14:dataValidations xmlns:xm="http://schemas.microsoft.com/office/excel/2006/main" count="5">
        <x14:dataValidation type="list" allowBlank="1" showInputMessage="1" showErrorMessage="1" xr:uid="{32AC68A3-CA41-4C06-B1BE-D1729FD5B845}">
          <x14:formula1>
            <xm:f>Tabellen!$A$42:$A$49</xm:f>
          </x14:formula1>
          <xm:sqref>F8 J8 N8</xm:sqref>
        </x14:dataValidation>
        <x14:dataValidation type="list" allowBlank="1" showInputMessage="1" showErrorMessage="1" xr:uid="{66FE5EC3-FB9B-4170-A986-92773FA699AE}">
          <x14:formula1>
            <xm:f>Tabellen!$A$103:$A$108</xm:f>
          </x14:formula1>
          <xm:sqref>L21 H21 B21 D21 N21 F21 P21 J21</xm:sqref>
        </x14:dataValidation>
        <x14:dataValidation type="list" allowBlank="1" showInputMessage="1" showErrorMessage="1" xr:uid="{4290969B-B7D6-4205-9873-5B154A748ACE}">
          <x14:formula1>
            <xm:f>Tabellen!$A$111:$A$113</xm:f>
          </x14:formula1>
          <xm:sqref>R21 T21</xm:sqref>
        </x14:dataValidation>
        <x14:dataValidation type="list" allowBlank="1" showInputMessage="1" showErrorMessage="1" xr:uid="{781A2DA9-FCA5-4B1C-BE55-165EDE49F1F7}">
          <x14:formula1>
            <xm:f>Tabellen!$A$85:$A$99</xm:f>
          </x14:formula1>
          <xm:sqref>P37 N37 D37 B37 H37 L37 F37 J37</xm:sqref>
        </x14:dataValidation>
        <x14:dataValidation type="list" allowBlank="1" showInputMessage="1" showErrorMessage="1" xr:uid="{EA3E07B0-3C48-430F-931B-2CFC190F404D}">
          <x14:formula1>
            <xm:f>Tabellen!$A$85:$A$97</xm:f>
          </x14:formula1>
          <xm:sqref>R37 T37</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54912-9705-4171-BAE0-B3BE93124C6F}">
  <sheetPr codeName="Blad19">
    <pageSetUpPr fitToPage="1"/>
  </sheetPr>
  <dimension ref="A1:U95"/>
  <sheetViews>
    <sheetView showGridLines="0" zoomScale="90" zoomScaleNormal="90" workbookViewId="0">
      <selection activeCell="B3" sqref="B3"/>
    </sheetView>
  </sheetViews>
  <sheetFormatPr defaultColWidth="9.140625" defaultRowHeight="12" x14ac:dyDescent="0.2"/>
  <cols>
    <col min="1" max="1" width="49.7109375" style="202" bestFit="1" customWidth="1"/>
    <col min="2" max="2" width="18.28515625" style="202" customWidth="1"/>
    <col min="3" max="3" width="6.28515625" style="202" bestFit="1" customWidth="1"/>
    <col min="4" max="4" width="18.28515625" style="202" customWidth="1"/>
    <col min="5" max="5" width="6.28515625" style="202" bestFit="1" customWidth="1"/>
    <col min="6" max="6" width="18.28515625" style="202" customWidth="1"/>
    <col min="7" max="7" width="6.28515625" style="202" bestFit="1" customWidth="1"/>
    <col min="8" max="8" width="18.28515625" style="202" customWidth="1"/>
    <col min="9" max="9" width="6.28515625" style="202" bestFit="1" customWidth="1"/>
    <col min="10" max="10" width="18.28515625" style="202" customWidth="1"/>
    <col min="11" max="11" width="6.28515625" style="202" bestFit="1" customWidth="1"/>
    <col min="12" max="12" width="18.28515625" style="202" customWidth="1"/>
    <col min="13" max="13" width="6.28515625" style="202" bestFit="1" customWidth="1"/>
    <col min="14" max="14" width="18.28515625" style="202" customWidth="1"/>
    <col min="15" max="15" width="6.28515625" style="202" bestFit="1" customWidth="1"/>
    <col min="16" max="16" width="18.28515625" style="202" customWidth="1"/>
    <col min="17" max="17" width="6.28515625" style="202" bestFit="1" customWidth="1"/>
    <col min="18" max="18" width="18.28515625" style="202" customWidth="1"/>
    <col min="19" max="19" width="6.28515625" style="202" bestFit="1" customWidth="1"/>
    <col min="20" max="20" width="18.28515625" style="194" customWidth="1"/>
    <col min="21" max="21" width="6.7109375" style="194" bestFit="1" customWidth="1"/>
    <col min="22" max="16384" width="9.140625" style="194"/>
  </cols>
  <sheetData>
    <row r="1" spans="1:21" s="192" customFormat="1" ht="24" customHeight="1" x14ac:dyDescent="0.2">
      <c r="A1" s="251" t="s">
        <v>212</v>
      </c>
      <c r="B1" s="251"/>
      <c r="C1" s="251"/>
      <c r="D1" s="251"/>
      <c r="E1" s="251"/>
      <c r="F1" s="251"/>
      <c r="G1" s="251"/>
      <c r="H1" s="251"/>
      <c r="I1" s="251"/>
      <c r="J1" s="251"/>
      <c r="K1" s="251"/>
      <c r="L1" s="251"/>
      <c r="M1" s="251"/>
      <c r="N1" s="251"/>
      <c r="O1" s="251"/>
      <c r="P1" s="251"/>
      <c r="Q1" s="251"/>
      <c r="R1" s="251"/>
      <c r="S1" s="251"/>
      <c r="T1" s="251"/>
      <c r="U1" s="251"/>
    </row>
    <row r="2" spans="1:21" s="193" customFormat="1" ht="12" customHeight="1" x14ac:dyDescent="0.2">
      <c r="A2" s="65"/>
      <c r="B2" s="75"/>
      <c r="C2" s="75"/>
      <c r="D2" s="75"/>
      <c r="E2" s="75"/>
      <c r="F2" s="75"/>
      <c r="G2" s="75"/>
      <c r="H2" s="75"/>
      <c r="I2" s="75"/>
      <c r="J2" s="75"/>
      <c r="K2" s="75"/>
      <c r="L2" s="75"/>
      <c r="M2" s="75"/>
      <c r="N2" s="75"/>
      <c r="O2" s="75"/>
      <c r="P2" s="75"/>
      <c r="Q2" s="75"/>
      <c r="R2" s="35"/>
      <c r="S2" s="35"/>
      <c r="T2" s="35"/>
      <c r="U2" s="35"/>
    </row>
    <row r="3" spans="1:21" ht="12" customHeight="1" x14ac:dyDescent="0.2">
      <c r="A3" s="36" t="s">
        <v>107</v>
      </c>
      <c r="B3" s="221"/>
      <c r="C3" s="75"/>
      <c r="D3" s="75"/>
      <c r="E3" s="75"/>
      <c r="F3" s="35"/>
      <c r="G3" s="75"/>
      <c r="H3" s="75"/>
      <c r="I3" s="75"/>
      <c r="J3" s="75"/>
      <c r="K3" s="75"/>
      <c r="L3" s="75"/>
      <c r="M3" s="75"/>
      <c r="N3" s="75"/>
      <c r="O3" s="75"/>
      <c r="P3" s="75"/>
      <c r="Q3" s="75"/>
      <c r="R3" s="35"/>
      <c r="S3" s="35"/>
      <c r="T3" s="35"/>
      <c r="U3" s="35"/>
    </row>
    <row r="4" spans="1:21" ht="12" customHeight="1" x14ac:dyDescent="0.2">
      <c r="A4" s="36" t="s">
        <v>191</v>
      </c>
      <c r="B4" s="33" t="s">
        <v>195</v>
      </c>
      <c r="C4" s="75"/>
      <c r="D4" s="75"/>
      <c r="E4" s="75"/>
      <c r="F4" s="35"/>
      <c r="G4" s="75"/>
      <c r="H4" s="75"/>
      <c r="I4" s="75"/>
      <c r="J4" s="75"/>
      <c r="K4" s="75"/>
      <c r="L4" s="75"/>
      <c r="M4" s="75"/>
      <c r="N4" s="75"/>
      <c r="O4" s="75"/>
      <c r="P4" s="75"/>
      <c r="Q4" s="75"/>
      <c r="R4" s="35"/>
      <c r="S4" s="35"/>
      <c r="T4" s="35"/>
      <c r="U4" s="35"/>
    </row>
    <row r="5" spans="1:21" ht="12" customHeight="1" x14ac:dyDescent="0.25">
      <c r="A5" s="39" t="s">
        <v>180</v>
      </c>
      <c r="B5" s="34">
        <v>0</v>
      </c>
      <c r="C5" s="36" t="s">
        <v>0</v>
      </c>
      <c r="D5" s="75"/>
      <c r="E5" s="75"/>
      <c r="F5" s="35"/>
      <c r="G5" s="75"/>
      <c r="H5" s="75"/>
      <c r="I5" s="75"/>
      <c r="J5" s="75"/>
      <c r="K5" s="75"/>
      <c r="L5" s="75"/>
      <c r="M5" s="75"/>
      <c r="N5" s="75"/>
      <c r="O5" s="75"/>
      <c r="P5" s="75"/>
      <c r="Q5" s="75"/>
      <c r="R5" s="35"/>
      <c r="S5" s="35"/>
      <c r="T5" s="35"/>
      <c r="U5" s="35"/>
    </row>
    <row r="6" spans="1:21" s="195" customFormat="1" ht="12" customHeight="1" x14ac:dyDescent="0.2">
      <c r="A6" s="75"/>
      <c r="B6" s="75"/>
      <c r="C6" s="75"/>
      <c r="D6" s="75"/>
      <c r="E6" s="75"/>
      <c r="F6" s="75"/>
      <c r="G6" s="75"/>
      <c r="H6" s="75"/>
      <c r="I6" s="75"/>
      <c r="J6" s="75"/>
      <c r="K6" s="75"/>
      <c r="L6" s="75"/>
      <c r="M6" s="75"/>
      <c r="N6" s="75"/>
      <c r="O6" s="75"/>
      <c r="P6" s="75"/>
      <c r="Q6" s="75"/>
      <c r="R6" s="75"/>
      <c r="S6" s="35"/>
      <c r="T6" s="35"/>
      <c r="U6" s="35"/>
    </row>
    <row r="7" spans="1:21" s="193" customFormat="1" ht="12" customHeight="1" x14ac:dyDescent="0.2">
      <c r="A7" s="65"/>
      <c r="B7" s="237" t="s">
        <v>181</v>
      </c>
      <c r="C7" s="237"/>
      <c r="D7" s="237"/>
      <c r="E7" s="76"/>
      <c r="F7" s="238" t="s">
        <v>182</v>
      </c>
      <c r="G7" s="237"/>
      <c r="H7" s="237"/>
      <c r="I7" s="76"/>
      <c r="J7" s="237" t="s">
        <v>183</v>
      </c>
      <c r="K7" s="237"/>
      <c r="L7" s="237"/>
      <c r="M7" s="76"/>
      <c r="N7" s="237" t="s">
        <v>184</v>
      </c>
      <c r="O7" s="237"/>
      <c r="P7" s="237"/>
      <c r="Q7" s="76"/>
      <c r="R7" s="238" t="s">
        <v>5</v>
      </c>
      <c r="S7" s="238"/>
      <c r="T7" s="238"/>
      <c r="U7" s="238"/>
    </row>
    <row r="8" spans="1:21" s="195" customFormat="1" ht="12" customHeight="1" x14ac:dyDescent="0.2">
      <c r="A8" s="72" t="s">
        <v>129</v>
      </c>
      <c r="B8" s="77">
        <f>'Projectgegevens en Resultaten'!$B$17</f>
        <v>0</v>
      </c>
      <c r="C8" s="183"/>
      <c r="D8" s="183"/>
      <c r="E8" s="183"/>
      <c r="F8" s="184" t="str">
        <f>o_Orientatie(F9)</f>
        <v>Oost</v>
      </c>
      <c r="G8" s="183"/>
      <c r="H8" s="183"/>
      <c r="I8" s="183"/>
      <c r="J8" s="184" t="str">
        <f>o_Orientatie(J9)</f>
        <v>Zuid</v>
      </c>
      <c r="K8" s="185"/>
      <c r="L8" s="185"/>
      <c r="M8" s="185"/>
      <c r="N8" s="184" t="str">
        <f>o_Orientatie(N9)</f>
        <v>West</v>
      </c>
      <c r="O8" s="185"/>
      <c r="P8" s="185"/>
      <c r="Q8" s="185"/>
      <c r="R8" s="186" t="s">
        <v>62</v>
      </c>
      <c r="S8" s="79"/>
      <c r="T8" s="78"/>
      <c r="U8" s="78"/>
    </row>
    <row r="9" spans="1:21" ht="12" hidden="1" customHeight="1" x14ac:dyDescent="0.2">
      <c r="A9" s="70" t="s">
        <v>132</v>
      </c>
      <c r="B9" s="80" cm="1">
        <f t="array" ref="B9">o_OrientatiehOEK(B8)</f>
        <v>0</v>
      </c>
      <c r="C9" s="187"/>
      <c r="D9" s="187"/>
      <c r="E9" s="187"/>
      <c r="F9" s="80">
        <f>IF(B9+90&gt;360,B9+90-360,B9+90)</f>
        <v>90</v>
      </c>
      <c r="G9" s="188"/>
      <c r="H9" s="188"/>
      <c r="I9" s="188"/>
      <c r="J9" s="80">
        <f>IF(F9+90&gt;360,F9+90-360,F9+90)</f>
        <v>180</v>
      </c>
      <c r="K9" s="185"/>
      <c r="L9" s="185"/>
      <c r="M9" s="185"/>
      <c r="N9" s="80">
        <f>IF(J9+90&gt;360,J9+90-360,J9+90)</f>
        <v>270</v>
      </c>
      <c r="O9" s="185"/>
      <c r="P9" s="185"/>
      <c r="Q9" s="185"/>
      <c r="R9" s="188"/>
      <c r="S9" s="79"/>
      <c r="T9" s="104"/>
      <c r="U9" s="104"/>
    </row>
    <row r="10" spans="1:21" s="195" customFormat="1" x14ac:dyDescent="0.2">
      <c r="A10" s="70" t="s">
        <v>102</v>
      </c>
      <c r="B10" s="44" t="s">
        <v>101</v>
      </c>
      <c r="C10" s="187"/>
      <c r="D10" s="187"/>
      <c r="E10" s="187"/>
      <c r="F10" s="44" t="s">
        <v>101</v>
      </c>
      <c r="G10" s="187"/>
      <c r="H10" s="187"/>
      <c r="I10" s="187"/>
      <c r="J10" s="44" t="s">
        <v>101</v>
      </c>
      <c r="K10" s="189"/>
      <c r="L10" s="189"/>
      <c r="M10" s="189"/>
      <c r="N10" s="44" t="s">
        <v>101</v>
      </c>
      <c r="O10" s="189"/>
      <c r="P10" s="189"/>
      <c r="Q10" s="189"/>
      <c r="R10" s="44" t="s">
        <v>101</v>
      </c>
      <c r="S10" s="82"/>
      <c r="T10" s="81"/>
      <c r="U10" s="81"/>
    </row>
    <row r="11" spans="1:21" s="195" customFormat="1" ht="12" customHeight="1" x14ac:dyDescent="0.2">
      <c r="A11" s="70" t="s">
        <v>133</v>
      </c>
      <c r="B11" s="210">
        <v>90</v>
      </c>
      <c r="C11" s="214" t="s">
        <v>103</v>
      </c>
      <c r="D11" s="210"/>
      <c r="E11" s="219"/>
      <c r="F11" s="210">
        <v>90</v>
      </c>
      <c r="G11" s="214" t="s">
        <v>103</v>
      </c>
      <c r="H11" s="210"/>
      <c r="I11" s="214"/>
      <c r="J11" s="210">
        <v>90</v>
      </c>
      <c r="K11" s="214" t="s">
        <v>103</v>
      </c>
      <c r="L11" s="210"/>
      <c r="M11" s="214"/>
      <c r="N11" s="210">
        <v>90</v>
      </c>
      <c r="O11" s="214" t="s">
        <v>103</v>
      </c>
      <c r="P11" s="210"/>
      <c r="Q11" s="210"/>
      <c r="R11" s="211">
        <v>0</v>
      </c>
      <c r="S11" s="214" t="s">
        <v>103</v>
      </c>
      <c r="T11" s="210"/>
      <c r="U11" s="214"/>
    </row>
    <row r="12" spans="1:21" s="195" customFormat="1" ht="12" customHeight="1" x14ac:dyDescent="0.2">
      <c r="A12" s="70" t="s">
        <v>130</v>
      </c>
      <c r="B12" s="211" t="str" cm="1">
        <f t="array" ref="B12">o_TypeConstructie(B10,B11)</f>
        <v>Woningscheidend</v>
      </c>
      <c r="C12" s="211"/>
      <c r="D12" s="211"/>
      <c r="E12" s="209"/>
      <c r="F12" s="211" t="str" cm="1">
        <f t="array" ref="F12">o_TypeConstructie(F10,F11)</f>
        <v>Woningscheidend</v>
      </c>
      <c r="G12" s="209"/>
      <c r="H12" s="211"/>
      <c r="I12" s="209"/>
      <c r="J12" s="211" t="str" cm="1">
        <f t="array" ref="J12">o_TypeConstructie(J10,J11)</f>
        <v>Woningscheidend</v>
      </c>
      <c r="K12" s="209"/>
      <c r="L12" s="211"/>
      <c r="M12" s="209"/>
      <c r="N12" s="211" t="str" cm="1">
        <f t="array" ref="N12">o_TypeConstructie(N10,N11)</f>
        <v>Woningscheidend</v>
      </c>
      <c r="O12" s="209"/>
      <c r="P12" s="211"/>
      <c r="Q12" s="211"/>
      <c r="R12" s="211" t="str" cm="1">
        <f t="array" ref="R12">o_TypeConstructie(R10,R11)</f>
        <v>Woningscheidend</v>
      </c>
      <c r="S12" s="207"/>
      <c r="T12" s="210"/>
      <c r="U12" s="214"/>
    </row>
    <row r="13" spans="1:21" s="195" customFormat="1" ht="12" customHeight="1" x14ac:dyDescent="0.2">
      <c r="A13" s="70" t="s">
        <v>127</v>
      </c>
      <c r="B13" s="207"/>
      <c r="C13" s="207" t="s">
        <v>1</v>
      </c>
      <c r="D13" s="207"/>
      <c r="E13" s="208"/>
      <c r="F13" s="207"/>
      <c r="G13" s="207" t="s">
        <v>1</v>
      </c>
      <c r="H13" s="207"/>
      <c r="I13" s="208"/>
      <c r="J13" s="207"/>
      <c r="K13" s="207" t="s">
        <v>1</v>
      </c>
      <c r="L13" s="207"/>
      <c r="M13" s="208"/>
      <c r="N13" s="207"/>
      <c r="O13" s="207" t="s">
        <v>1</v>
      </c>
      <c r="P13" s="207"/>
      <c r="Q13" s="208"/>
      <c r="R13" s="207"/>
      <c r="S13" s="207" t="s">
        <v>1</v>
      </c>
      <c r="T13" s="208"/>
      <c r="U13" s="208"/>
    </row>
    <row r="14" spans="1:21" s="195" customFormat="1" ht="12" customHeight="1" x14ac:dyDescent="0.2">
      <c r="A14" s="83" t="s">
        <v>128</v>
      </c>
      <c r="B14" s="207"/>
      <c r="C14" s="207" t="s">
        <v>1</v>
      </c>
      <c r="D14" s="207"/>
      <c r="E14" s="208"/>
      <c r="F14" s="207"/>
      <c r="G14" s="207" t="s">
        <v>1</v>
      </c>
      <c r="H14" s="207"/>
      <c r="I14" s="208"/>
      <c r="J14" s="207"/>
      <c r="K14" s="207" t="s">
        <v>1</v>
      </c>
      <c r="L14" s="207"/>
      <c r="M14" s="208"/>
      <c r="N14" s="207"/>
      <c r="O14" s="207" t="s">
        <v>1</v>
      </c>
      <c r="P14" s="207"/>
      <c r="Q14" s="208"/>
      <c r="R14" s="207"/>
      <c r="S14" s="207" t="s">
        <v>1</v>
      </c>
      <c r="T14" s="208"/>
      <c r="U14" s="208"/>
    </row>
    <row r="15" spans="1:21" s="195" customFormat="1" ht="12" customHeight="1" x14ac:dyDescent="0.2">
      <c r="A15" s="36" t="s">
        <v>104</v>
      </c>
      <c r="B15" s="208">
        <f>B13*B14</f>
        <v>0</v>
      </c>
      <c r="C15" s="208" t="s">
        <v>0</v>
      </c>
      <c r="D15" s="208"/>
      <c r="E15" s="208"/>
      <c r="F15" s="208">
        <f>F13*F14</f>
        <v>0</v>
      </c>
      <c r="G15" s="208" t="s">
        <v>0</v>
      </c>
      <c r="H15" s="208"/>
      <c r="I15" s="208"/>
      <c r="J15" s="208">
        <f>J13*J14</f>
        <v>0</v>
      </c>
      <c r="K15" s="208" t="s">
        <v>0</v>
      </c>
      <c r="L15" s="208"/>
      <c r="M15" s="208"/>
      <c r="N15" s="208">
        <f>N13*N14</f>
        <v>0</v>
      </c>
      <c r="O15" s="208" t="s">
        <v>0</v>
      </c>
      <c r="P15" s="208"/>
      <c r="Q15" s="208"/>
      <c r="R15" s="208">
        <f>R13*R14</f>
        <v>0</v>
      </c>
      <c r="S15" s="207" t="s">
        <v>0</v>
      </c>
      <c r="T15" s="208"/>
      <c r="U15" s="208"/>
    </row>
    <row r="16" spans="1:21" s="195" customFormat="1" ht="12" customHeight="1" x14ac:dyDescent="0.2">
      <c r="A16" s="36" t="s">
        <v>105</v>
      </c>
      <c r="B16" s="208">
        <f>MAX(0,B15-B18-D18)</f>
        <v>0</v>
      </c>
      <c r="C16" s="208" t="s">
        <v>0</v>
      </c>
      <c r="D16" s="208"/>
      <c r="E16" s="208"/>
      <c r="F16" s="208">
        <f>MAX(0,F15-F18-H18)</f>
        <v>0</v>
      </c>
      <c r="G16" s="208" t="s">
        <v>0</v>
      </c>
      <c r="H16" s="208"/>
      <c r="I16" s="208"/>
      <c r="J16" s="208">
        <f>MAX(0,J15-J18-L18)</f>
        <v>0</v>
      </c>
      <c r="K16" s="208" t="s">
        <v>0</v>
      </c>
      <c r="L16" s="208"/>
      <c r="M16" s="208"/>
      <c r="N16" s="208">
        <f>MAX(0,N15-N18-P18)</f>
        <v>0</v>
      </c>
      <c r="O16" s="208" t="s">
        <v>0</v>
      </c>
      <c r="P16" s="210"/>
      <c r="Q16" s="210"/>
      <c r="R16" s="208">
        <f>MAX(0,R15-R18-T18)</f>
        <v>0</v>
      </c>
      <c r="S16" s="207" t="s">
        <v>0</v>
      </c>
      <c r="T16" s="208"/>
      <c r="U16" s="208"/>
    </row>
    <row r="17" spans="1:21" s="195" customFormat="1" ht="12" customHeight="1" x14ac:dyDescent="0.2">
      <c r="A17" s="75"/>
      <c r="B17" s="215" t="s">
        <v>123</v>
      </c>
      <c r="C17" s="84"/>
      <c r="D17" s="215" t="s">
        <v>124</v>
      </c>
      <c r="E17" s="84"/>
      <c r="F17" s="215" t="s">
        <v>123</v>
      </c>
      <c r="G17" s="84"/>
      <c r="H17" s="215" t="s">
        <v>124</v>
      </c>
      <c r="I17" s="84"/>
      <c r="J17" s="215" t="s">
        <v>123</v>
      </c>
      <c r="K17" s="84"/>
      <c r="L17" s="215" t="s">
        <v>124</v>
      </c>
      <c r="M17" s="84"/>
      <c r="N17" s="215" t="s">
        <v>123</v>
      </c>
      <c r="O17" s="84"/>
      <c r="P17" s="215" t="s">
        <v>124</v>
      </c>
      <c r="Q17" s="84"/>
      <c r="R17" s="215" t="s">
        <v>123</v>
      </c>
      <c r="S17" s="84"/>
      <c r="T17" s="215" t="s">
        <v>124</v>
      </c>
      <c r="U17" s="84"/>
    </row>
    <row r="18" spans="1:21" s="195" customFormat="1" ht="12" customHeight="1" x14ac:dyDescent="0.25">
      <c r="A18" s="36" t="s">
        <v>218</v>
      </c>
      <c r="B18" s="209"/>
      <c r="C18" s="208" t="s">
        <v>0</v>
      </c>
      <c r="D18" s="210"/>
      <c r="E18" s="208" t="s">
        <v>0</v>
      </c>
      <c r="F18" s="210"/>
      <c r="G18" s="208" t="s">
        <v>0</v>
      </c>
      <c r="H18" s="210"/>
      <c r="I18" s="208" t="s">
        <v>0</v>
      </c>
      <c r="J18" s="210"/>
      <c r="K18" s="208" t="s">
        <v>0</v>
      </c>
      <c r="L18" s="210"/>
      <c r="M18" s="208" t="s">
        <v>0</v>
      </c>
      <c r="N18" s="210"/>
      <c r="O18" s="208" t="s">
        <v>0</v>
      </c>
      <c r="P18" s="210"/>
      <c r="Q18" s="208" t="s">
        <v>0</v>
      </c>
      <c r="R18" s="210"/>
      <c r="S18" s="208" t="s">
        <v>0</v>
      </c>
      <c r="T18" s="210"/>
      <c r="U18" s="208" t="s">
        <v>0</v>
      </c>
    </row>
    <row r="19" spans="1:21" s="195" customFormat="1" ht="12" customHeight="1" x14ac:dyDescent="0.25">
      <c r="A19" s="36" t="s">
        <v>134</v>
      </c>
      <c r="B19" s="209"/>
      <c r="C19" s="208" t="s">
        <v>98</v>
      </c>
      <c r="D19" s="210"/>
      <c r="E19" s="208" t="s">
        <v>98</v>
      </c>
      <c r="F19" s="210"/>
      <c r="G19" s="208" t="s">
        <v>98</v>
      </c>
      <c r="H19" s="210"/>
      <c r="I19" s="208" t="s">
        <v>98</v>
      </c>
      <c r="J19" s="210"/>
      <c r="K19" s="208" t="s">
        <v>98</v>
      </c>
      <c r="L19" s="210"/>
      <c r="M19" s="208" t="s">
        <v>98</v>
      </c>
      <c r="N19" s="210"/>
      <c r="O19" s="208" t="s">
        <v>98</v>
      </c>
      <c r="P19" s="210"/>
      <c r="Q19" s="208" t="s">
        <v>98</v>
      </c>
      <c r="R19" s="210"/>
      <c r="S19" s="208" t="s">
        <v>98</v>
      </c>
      <c r="T19" s="210"/>
      <c r="U19" s="208" t="s">
        <v>98</v>
      </c>
    </row>
    <row r="20" spans="1:21" s="195" customFormat="1" ht="12" customHeight="1" x14ac:dyDescent="0.2">
      <c r="A20" s="66" t="s">
        <v>221</v>
      </c>
      <c r="B20" s="209">
        <v>1</v>
      </c>
      <c r="C20" s="208"/>
      <c r="D20" s="210">
        <v>1</v>
      </c>
      <c r="E20" s="208"/>
      <c r="F20" s="210">
        <v>1</v>
      </c>
      <c r="G20" s="208"/>
      <c r="H20" s="210">
        <v>1</v>
      </c>
      <c r="I20" s="208"/>
      <c r="J20" s="210">
        <v>1</v>
      </c>
      <c r="K20" s="208"/>
      <c r="L20" s="210">
        <v>1</v>
      </c>
      <c r="M20" s="208"/>
      <c r="N20" s="210">
        <v>1</v>
      </c>
      <c r="O20" s="207"/>
      <c r="P20" s="210">
        <v>1</v>
      </c>
      <c r="Q20" s="208"/>
      <c r="R20" s="210">
        <v>1</v>
      </c>
      <c r="S20" s="207"/>
      <c r="T20" s="210">
        <v>1</v>
      </c>
      <c r="U20" s="208"/>
    </row>
    <row r="21" spans="1:21" s="195" customFormat="1" ht="12" customHeight="1" x14ac:dyDescent="0.2">
      <c r="A21" s="67" t="s">
        <v>219</v>
      </c>
      <c r="B21" s="220" t="s">
        <v>111</v>
      </c>
      <c r="C21" s="212"/>
      <c r="D21" s="220" t="s">
        <v>111</v>
      </c>
      <c r="E21" s="212"/>
      <c r="F21" s="220" t="s">
        <v>111</v>
      </c>
      <c r="G21" s="212"/>
      <c r="H21" s="220" t="s">
        <v>111</v>
      </c>
      <c r="I21" s="212"/>
      <c r="J21" s="220" t="s">
        <v>111</v>
      </c>
      <c r="K21" s="212"/>
      <c r="L21" s="220" t="s">
        <v>111</v>
      </c>
      <c r="M21" s="212"/>
      <c r="N21" s="220" t="s">
        <v>111</v>
      </c>
      <c r="O21" s="213"/>
      <c r="P21" s="220" t="s">
        <v>111</v>
      </c>
      <c r="Q21" s="212"/>
      <c r="R21" s="220" t="s">
        <v>111</v>
      </c>
      <c r="S21" s="213"/>
      <c r="T21" s="220" t="s">
        <v>111</v>
      </c>
      <c r="U21" s="208"/>
    </row>
    <row r="22" spans="1:21" s="195" customFormat="1" ht="68.25" customHeight="1" x14ac:dyDescent="0.2">
      <c r="A22" s="85"/>
      <c r="B22" s="208"/>
      <c r="C22" s="208"/>
      <c r="D22" s="208"/>
      <c r="E22" s="208"/>
      <c r="F22" s="208"/>
      <c r="G22" s="208"/>
      <c r="H22" s="208"/>
      <c r="I22" s="208"/>
      <c r="J22" s="208"/>
      <c r="K22" s="208"/>
      <c r="L22" s="208"/>
      <c r="M22" s="208"/>
      <c r="N22" s="208"/>
      <c r="O22" s="208"/>
      <c r="P22" s="208"/>
      <c r="Q22" s="208"/>
      <c r="R22" s="208"/>
      <c r="S22" s="207"/>
      <c r="T22" s="208"/>
      <c r="U22" s="208"/>
    </row>
    <row r="23" spans="1:21" s="195" customFormat="1" x14ac:dyDescent="0.2">
      <c r="A23" s="85"/>
      <c r="B23" s="215" t="s">
        <v>166</v>
      </c>
      <c r="C23" s="208"/>
      <c r="D23" s="215" t="s">
        <v>166</v>
      </c>
      <c r="E23" s="208"/>
      <c r="F23" s="215" t="s">
        <v>166</v>
      </c>
      <c r="G23" s="208"/>
      <c r="H23" s="215" t="s">
        <v>166</v>
      </c>
      <c r="I23" s="208"/>
      <c r="J23" s="215" t="s">
        <v>166</v>
      </c>
      <c r="K23" s="208"/>
      <c r="L23" s="215" t="s">
        <v>166</v>
      </c>
      <c r="M23" s="208"/>
      <c r="N23" s="215" t="s">
        <v>166</v>
      </c>
      <c r="O23" s="208"/>
      <c r="P23" s="215" t="s">
        <v>166</v>
      </c>
      <c r="Q23" s="208"/>
      <c r="R23" s="215"/>
      <c r="S23" s="208"/>
      <c r="T23" s="215"/>
      <c r="U23" s="208"/>
    </row>
    <row r="24" spans="1:21" s="195" customFormat="1" ht="12" customHeight="1" x14ac:dyDescent="0.2">
      <c r="A24" s="86" t="s">
        <v>120</v>
      </c>
      <c r="B24" s="216">
        <v>0</v>
      </c>
      <c r="C24" s="87" t="s">
        <v>1</v>
      </c>
      <c r="D24" s="216">
        <v>0</v>
      </c>
      <c r="E24" s="87" t="s">
        <v>1</v>
      </c>
      <c r="F24" s="216">
        <v>0</v>
      </c>
      <c r="G24" s="87" t="s">
        <v>1</v>
      </c>
      <c r="H24" s="216">
        <v>0</v>
      </c>
      <c r="I24" s="87" t="s">
        <v>1</v>
      </c>
      <c r="J24" s="216">
        <v>0</v>
      </c>
      <c r="K24" s="87" t="s">
        <v>1</v>
      </c>
      <c r="L24" s="216">
        <v>0</v>
      </c>
      <c r="M24" s="87" t="s">
        <v>1</v>
      </c>
      <c r="N24" s="216">
        <v>0</v>
      </c>
      <c r="O24" s="87" t="s">
        <v>1</v>
      </c>
      <c r="P24" s="216">
        <v>0</v>
      </c>
      <c r="Q24" s="87" t="s">
        <v>1</v>
      </c>
      <c r="R24" s="216">
        <v>0</v>
      </c>
      <c r="S24" s="87"/>
      <c r="T24" s="216">
        <v>0</v>
      </c>
      <c r="U24" s="87" t="s">
        <v>1</v>
      </c>
    </row>
    <row r="25" spans="1:21" s="195" customFormat="1" ht="12" customHeight="1" x14ac:dyDescent="0.2">
      <c r="A25" s="88" t="s">
        <v>121</v>
      </c>
      <c r="B25" s="216">
        <v>0</v>
      </c>
      <c r="C25" s="87" t="s">
        <v>1</v>
      </c>
      <c r="D25" s="216">
        <v>0</v>
      </c>
      <c r="E25" s="87" t="s">
        <v>1</v>
      </c>
      <c r="F25" s="216">
        <v>0</v>
      </c>
      <c r="G25" s="87" t="s">
        <v>1</v>
      </c>
      <c r="H25" s="216">
        <v>0</v>
      </c>
      <c r="I25" s="87" t="s">
        <v>1</v>
      </c>
      <c r="J25" s="216">
        <v>0</v>
      </c>
      <c r="K25" s="87" t="s">
        <v>1</v>
      </c>
      <c r="L25" s="216">
        <v>0</v>
      </c>
      <c r="M25" s="87" t="s">
        <v>1</v>
      </c>
      <c r="N25" s="216">
        <v>0</v>
      </c>
      <c r="O25" s="87" t="s">
        <v>1</v>
      </c>
      <c r="P25" s="216">
        <v>0</v>
      </c>
      <c r="Q25" s="87" t="s">
        <v>1</v>
      </c>
      <c r="R25" s="216">
        <v>0</v>
      </c>
      <c r="S25" s="87"/>
      <c r="T25" s="216">
        <v>0</v>
      </c>
      <c r="U25" s="87" t="s">
        <v>1</v>
      </c>
    </row>
    <row r="26" spans="1:21" s="195" customFormat="1" ht="12" customHeight="1" x14ac:dyDescent="0.2">
      <c r="A26" s="89" t="s">
        <v>163</v>
      </c>
      <c r="B26" s="217">
        <f>IFERROR(180/PI()*ATAN(B24/B25),0)</f>
        <v>0</v>
      </c>
      <c r="C26" s="90" t="s">
        <v>103</v>
      </c>
      <c r="D26" s="217">
        <f>IFERROR(180/PI()*ATAN(D24/D25),0)</f>
        <v>0</v>
      </c>
      <c r="E26" s="90" t="s">
        <v>103</v>
      </c>
      <c r="F26" s="217">
        <f>IFERROR(180/PI()*ATAN(F24/F25),0)</f>
        <v>0</v>
      </c>
      <c r="G26" s="90" t="s">
        <v>103</v>
      </c>
      <c r="H26" s="217">
        <f>IFERROR(180/PI()*ATAN(H24/H25),0)</f>
        <v>0</v>
      </c>
      <c r="I26" s="90" t="s">
        <v>103</v>
      </c>
      <c r="J26" s="217">
        <f>IFERROR(180/PI()*ATAN(J24/J25),0)</f>
        <v>0</v>
      </c>
      <c r="K26" s="90" t="s">
        <v>103</v>
      </c>
      <c r="L26" s="217">
        <f>IFERROR(180/PI()*ATAN(L24/L25),0)</f>
        <v>0</v>
      </c>
      <c r="M26" s="90" t="s">
        <v>103</v>
      </c>
      <c r="N26" s="217">
        <f>IFERROR(180/PI()*ATAN(N24/N25),0)</f>
        <v>0</v>
      </c>
      <c r="O26" s="90" t="s">
        <v>103</v>
      </c>
      <c r="P26" s="217">
        <f>IFERROR(180/PI()*ATAN(P24/P25),0)</f>
        <v>0</v>
      </c>
      <c r="Q26" s="90" t="s">
        <v>103</v>
      </c>
      <c r="R26" s="217"/>
      <c r="S26" s="90"/>
      <c r="T26" s="217"/>
      <c r="U26" s="90" t="s">
        <v>103</v>
      </c>
    </row>
    <row r="27" spans="1:21" s="195" customFormat="1" ht="12" customHeight="1" x14ac:dyDescent="0.2">
      <c r="A27" s="89" t="s">
        <v>119</v>
      </c>
      <c r="B27" s="216">
        <f>IFERROR(B24/B25,1)</f>
        <v>1</v>
      </c>
      <c r="C27" s="87"/>
      <c r="D27" s="216">
        <f>IFERROR(D24/D25,1)</f>
        <v>1</v>
      </c>
      <c r="E27" s="87"/>
      <c r="F27" s="216">
        <f>IFERROR(F24/F25,1)</f>
        <v>1</v>
      </c>
      <c r="G27" s="87"/>
      <c r="H27" s="216">
        <f>IFERROR(H24/H25,1)</f>
        <v>1</v>
      </c>
      <c r="I27" s="87"/>
      <c r="J27" s="216">
        <f>IFERROR(J24/J25,1)</f>
        <v>1</v>
      </c>
      <c r="K27" s="87"/>
      <c r="L27" s="216">
        <f>IFERROR(L24/L25,1)</f>
        <v>1</v>
      </c>
      <c r="M27" s="87"/>
      <c r="N27" s="216">
        <f>IFERROR(N24/N25,1)</f>
        <v>1</v>
      </c>
      <c r="O27" s="87"/>
      <c r="P27" s="216">
        <f>IFERROR(P24/P25,1)</f>
        <v>1</v>
      </c>
      <c r="Q27" s="87"/>
      <c r="R27" s="216"/>
      <c r="S27" s="87"/>
      <c r="T27" s="216"/>
      <c r="U27" s="87"/>
    </row>
    <row r="28" spans="1:21" s="195" customFormat="1" ht="101.25" customHeight="1" x14ac:dyDescent="0.2">
      <c r="A28" s="91"/>
      <c r="B28" s="208"/>
      <c r="C28" s="208"/>
      <c r="D28" s="208"/>
      <c r="E28" s="208"/>
      <c r="F28" s="208"/>
      <c r="G28" s="208"/>
      <c r="H28" s="208"/>
      <c r="I28" s="208"/>
      <c r="J28" s="208"/>
      <c r="K28" s="208"/>
      <c r="L28" s="208"/>
      <c r="M28" s="208"/>
      <c r="N28" s="208"/>
      <c r="O28" s="208"/>
      <c r="P28" s="208"/>
      <c r="Q28" s="208"/>
      <c r="R28" s="215"/>
      <c r="S28" s="215"/>
      <c r="T28" s="215"/>
      <c r="U28" s="208"/>
    </row>
    <row r="29" spans="1:21" s="195" customFormat="1" x14ac:dyDescent="0.2">
      <c r="A29" s="91"/>
      <c r="B29" s="215" t="s">
        <v>113</v>
      </c>
      <c r="C29" s="208"/>
      <c r="D29" s="215" t="s">
        <v>113</v>
      </c>
      <c r="E29" s="208"/>
      <c r="F29" s="215" t="s">
        <v>113</v>
      </c>
      <c r="G29" s="208"/>
      <c r="H29" s="215" t="s">
        <v>113</v>
      </c>
      <c r="I29" s="208"/>
      <c r="J29" s="215" t="s">
        <v>113</v>
      </c>
      <c r="K29" s="208"/>
      <c r="L29" s="215" t="s">
        <v>113</v>
      </c>
      <c r="M29" s="208"/>
      <c r="N29" s="215" t="s">
        <v>113</v>
      </c>
      <c r="O29" s="208"/>
      <c r="P29" s="215" t="s">
        <v>113</v>
      </c>
      <c r="Q29" s="208"/>
      <c r="R29" s="215"/>
      <c r="S29" s="215"/>
      <c r="T29" s="215"/>
      <c r="U29" s="208"/>
    </row>
    <row r="30" spans="1:21" s="195" customFormat="1" ht="12" customHeight="1" x14ac:dyDescent="0.2">
      <c r="A30" s="89" t="s">
        <v>158</v>
      </c>
      <c r="B30" s="216" t="s">
        <v>252</v>
      </c>
      <c r="C30" s="87"/>
      <c r="D30" s="216" t="s">
        <v>252</v>
      </c>
      <c r="E30" s="87"/>
      <c r="F30" s="216" t="s">
        <v>252</v>
      </c>
      <c r="G30" s="87"/>
      <c r="H30" s="216" t="s">
        <v>252</v>
      </c>
      <c r="I30" s="87"/>
      <c r="J30" s="216" t="s">
        <v>252</v>
      </c>
      <c r="K30" s="87"/>
      <c r="L30" s="216" t="s">
        <v>252</v>
      </c>
      <c r="M30" s="87"/>
      <c r="N30" s="216" t="s">
        <v>252</v>
      </c>
      <c r="O30" s="87"/>
      <c r="P30" s="216" t="s">
        <v>252</v>
      </c>
      <c r="Q30" s="87"/>
      <c r="R30" s="215" t="s">
        <v>252</v>
      </c>
      <c r="S30" s="215"/>
      <c r="T30" s="215" t="s">
        <v>252</v>
      </c>
      <c r="U30" s="87"/>
    </row>
    <row r="31" spans="1:21" s="195" customFormat="1" ht="12" customHeight="1" x14ac:dyDescent="0.2">
      <c r="A31" s="89" t="s">
        <v>155</v>
      </c>
      <c r="B31" s="216">
        <v>0</v>
      </c>
      <c r="C31" s="87" t="s">
        <v>1</v>
      </c>
      <c r="D31" s="216">
        <v>0</v>
      </c>
      <c r="E31" s="87" t="s">
        <v>1</v>
      </c>
      <c r="F31" s="216">
        <v>0</v>
      </c>
      <c r="G31" s="87" t="s">
        <v>1</v>
      </c>
      <c r="H31" s="216">
        <v>0</v>
      </c>
      <c r="I31" s="87" t="s">
        <v>1</v>
      </c>
      <c r="J31" s="216">
        <v>0</v>
      </c>
      <c r="K31" s="87" t="s">
        <v>1</v>
      </c>
      <c r="L31" s="216">
        <v>0</v>
      </c>
      <c r="M31" s="87" t="s">
        <v>1</v>
      </c>
      <c r="N31" s="216">
        <v>0</v>
      </c>
      <c r="O31" s="87" t="s">
        <v>1</v>
      </c>
      <c r="P31" s="216">
        <v>0</v>
      </c>
      <c r="Q31" s="87" t="s">
        <v>1</v>
      </c>
      <c r="R31" s="215">
        <v>0</v>
      </c>
      <c r="S31" s="215"/>
      <c r="T31" s="215">
        <v>0</v>
      </c>
      <c r="U31" s="87" t="s">
        <v>1</v>
      </c>
    </row>
    <row r="32" spans="1:21" s="195" customFormat="1" ht="12" customHeight="1" x14ac:dyDescent="0.2">
      <c r="A32" s="89" t="s">
        <v>156</v>
      </c>
      <c r="B32" s="216">
        <v>0</v>
      </c>
      <c r="C32" s="90" t="s">
        <v>1</v>
      </c>
      <c r="D32" s="216">
        <v>0</v>
      </c>
      <c r="E32" s="90" t="s">
        <v>1</v>
      </c>
      <c r="F32" s="216">
        <v>0</v>
      </c>
      <c r="G32" s="90" t="s">
        <v>1</v>
      </c>
      <c r="H32" s="216">
        <v>0</v>
      </c>
      <c r="I32" s="90" t="s">
        <v>1</v>
      </c>
      <c r="J32" s="216">
        <v>0</v>
      </c>
      <c r="K32" s="90" t="s">
        <v>1</v>
      </c>
      <c r="L32" s="216">
        <v>0</v>
      </c>
      <c r="M32" s="90" t="s">
        <v>1</v>
      </c>
      <c r="N32" s="216">
        <v>0</v>
      </c>
      <c r="O32" s="90" t="s">
        <v>1</v>
      </c>
      <c r="P32" s="216">
        <v>0</v>
      </c>
      <c r="Q32" s="90" t="s">
        <v>1</v>
      </c>
      <c r="R32" s="215">
        <v>0</v>
      </c>
      <c r="S32" s="215"/>
      <c r="T32" s="215">
        <v>0</v>
      </c>
      <c r="U32" s="87" t="s">
        <v>1</v>
      </c>
    </row>
    <row r="33" spans="1:21" s="195" customFormat="1" ht="12" customHeight="1" x14ac:dyDescent="0.25">
      <c r="A33" s="89" t="s">
        <v>157</v>
      </c>
      <c r="B33" s="216">
        <f>IFERROR(B31/B32,999)</f>
        <v>999</v>
      </c>
      <c r="C33" s="87"/>
      <c r="D33" s="216">
        <f>IFERROR(D31/D32,999)</f>
        <v>999</v>
      </c>
      <c r="E33" s="87"/>
      <c r="F33" s="216">
        <f>IFERROR(F31/F32,999)</f>
        <v>999</v>
      </c>
      <c r="G33" s="87"/>
      <c r="H33" s="216">
        <f>IFERROR(H31/H32,999)</f>
        <v>999</v>
      </c>
      <c r="I33" s="87"/>
      <c r="J33" s="216">
        <f>IFERROR(J31/J32,999)</f>
        <v>999</v>
      </c>
      <c r="K33" s="87"/>
      <c r="L33" s="216">
        <f>IFERROR(L31/L32,999)</f>
        <v>999</v>
      </c>
      <c r="M33" s="87"/>
      <c r="N33" s="216">
        <f>IFERROR(N31/N32,999)</f>
        <v>999</v>
      </c>
      <c r="O33" s="87"/>
      <c r="P33" s="216">
        <f>IFERROR(P31/P32,999)</f>
        <v>999</v>
      </c>
      <c r="Q33" s="87"/>
      <c r="R33" s="215"/>
      <c r="S33" s="215"/>
      <c r="T33" s="215"/>
      <c r="U33" s="87"/>
    </row>
    <row r="34" spans="1:21" s="195" customFormat="1" x14ac:dyDescent="0.2">
      <c r="A34" s="75"/>
      <c r="B34" s="84"/>
      <c r="C34" s="84"/>
      <c r="D34" s="84"/>
      <c r="E34" s="84"/>
      <c r="F34" s="84"/>
      <c r="G34" s="84"/>
      <c r="H34" s="84"/>
      <c r="I34" s="84"/>
      <c r="J34" s="84"/>
      <c r="K34" s="84"/>
      <c r="L34" s="84"/>
      <c r="M34" s="84"/>
      <c r="N34" s="84"/>
      <c r="O34" s="84"/>
      <c r="P34" s="84"/>
      <c r="Q34" s="84"/>
      <c r="R34" s="84"/>
      <c r="S34" s="84"/>
      <c r="T34" s="84"/>
      <c r="U34" s="84"/>
    </row>
    <row r="35" spans="1:21" s="195" customFormat="1" ht="12" customHeight="1" x14ac:dyDescent="0.25">
      <c r="A35" s="36" t="s">
        <v>135</v>
      </c>
      <c r="B35" s="216" cm="1">
        <f t="array" ref="B35">IFERROR(o_Beschaduwingreductie(B21,B8,B27,B30,B33,B11),1)</f>
        <v>1</v>
      </c>
      <c r="C35" s="208"/>
      <c r="D35" s="216" cm="1">
        <f t="array" ref="D35">IFERROR(o_Beschaduwingreductie(D21,B8,D27,D30,D33,B11),1)</f>
        <v>1</v>
      </c>
      <c r="E35" s="208"/>
      <c r="F35" s="216" cm="1">
        <f t="array" ref="F35">IFERROR(o_Beschaduwingreductie(F21,F8,F27,F30,F33,F11),1)</f>
        <v>1</v>
      </c>
      <c r="G35" s="208"/>
      <c r="H35" s="216" cm="1">
        <f t="array" ref="H35">IFERROR(o_Beschaduwingreductie(H21,F8,H27,H30,H33,F11),1)</f>
        <v>1</v>
      </c>
      <c r="I35" s="208"/>
      <c r="J35" s="216" cm="1">
        <f t="array" ref="J35">IFERROR(o_Beschaduwingreductie(J21,J8,J27,J30,J33,J11),1)</f>
        <v>1</v>
      </c>
      <c r="K35" s="208"/>
      <c r="L35" s="216" cm="1">
        <f t="array" ref="L35">IFERROR(o_Beschaduwingreductie(L21,J8,L27,L30,L33,J11),1)</f>
        <v>1</v>
      </c>
      <c r="M35" s="208"/>
      <c r="N35" s="216" cm="1">
        <f t="array" ref="N35">IFERROR(o_Beschaduwingreductie(N21,N8,N27,N30,N33,N11),1)</f>
        <v>1</v>
      </c>
      <c r="O35" s="208"/>
      <c r="P35" s="216" cm="1">
        <f t="array" ref="P35">IFERROR(o_Beschaduwingreductie(P21,N8,P27,P30,P33,N11),1)</f>
        <v>1</v>
      </c>
      <c r="Q35" s="208"/>
      <c r="R35" s="159" cm="1">
        <f t="array" ref="R35">o_Beschaduwingreductie(R21,R8,R27,R30,R33,R11)</f>
        <v>1</v>
      </c>
      <c r="S35" s="207"/>
      <c r="T35" s="216" cm="1">
        <f t="array" ref="T35">o_Beschaduwingreductie(T21,R8,T27,T30,T33,R11)</f>
        <v>1</v>
      </c>
      <c r="U35" s="208"/>
    </row>
    <row r="36" spans="1:21" s="195" customFormat="1" x14ac:dyDescent="0.2">
      <c r="A36" s="75"/>
      <c r="B36" s="84"/>
      <c r="C36" s="84"/>
      <c r="D36" s="84"/>
      <c r="E36" s="84"/>
      <c r="F36" s="84"/>
      <c r="G36" s="84"/>
      <c r="H36" s="84"/>
      <c r="I36" s="84"/>
      <c r="J36" s="84"/>
      <c r="K36" s="84"/>
      <c r="L36" s="84"/>
      <c r="M36" s="84"/>
      <c r="N36" s="84"/>
      <c r="O36" s="84"/>
      <c r="P36" s="84"/>
      <c r="Q36" s="84"/>
      <c r="R36" s="84"/>
      <c r="S36" s="84"/>
      <c r="T36" s="84"/>
      <c r="U36" s="84"/>
    </row>
    <row r="37" spans="1:21" s="195" customFormat="1" ht="12" customHeight="1" x14ac:dyDescent="0.2">
      <c r="A37" s="36" t="s">
        <v>82</v>
      </c>
      <c r="B37" s="220" t="s">
        <v>84</v>
      </c>
      <c r="C37" s="218"/>
      <c r="D37" s="220" t="s">
        <v>84</v>
      </c>
      <c r="E37" s="212"/>
      <c r="F37" s="220" t="s">
        <v>84</v>
      </c>
      <c r="G37" s="218"/>
      <c r="H37" s="220" t="s">
        <v>84</v>
      </c>
      <c r="I37" s="212"/>
      <c r="J37" s="220" t="s">
        <v>84</v>
      </c>
      <c r="K37" s="218"/>
      <c r="L37" s="220" t="s">
        <v>84</v>
      </c>
      <c r="M37" s="212"/>
      <c r="N37" s="220" t="s">
        <v>84</v>
      </c>
      <c r="O37" s="218"/>
      <c r="P37" s="220" t="s">
        <v>84</v>
      </c>
      <c r="Q37" s="212"/>
      <c r="R37" s="220" t="s">
        <v>84</v>
      </c>
      <c r="S37" s="218"/>
      <c r="T37" s="220" t="s">
        <v>84</v>
      </c>
      <c r="U37" s="208"/>
    </row>
    <row r="38" spans="1:21" s="195" customFormat="1" ht="12" customHeight="1" x14ac:dyDescent="0.25">
      <c r="A38" s="36" t="s">
        <v>136</v>
      </c>
      <c r="B38" s="159" cm="1">
        <f t="array" ref="B38">o_Zonweringreductie(B37,B8)</f>
        <v>1</v>
      </c>
      <c r="C38" s="208"/>
      <c r="D38" s="159" cm="1">
        <f t="array" ref="D38">o_Zonweringreductie(D37,B8)</f>
        <v>1</v>
      </c>
      <c r="E38" s="208"/>
      <c r="F38" s="159" cm="1">
        <f t="array" ref="F38">o_Zonweringreductie(F37,F8)</f>
        <v>1</v>
      </c>
      <c r="G38" s="208"/>
      <c r="H38" s="159" cm="1">
        <f t="array" ref="H38">o_Zonweringreductie(H37,F8)</f>
        <v>1</v>
      </c>
      <c r="I38" s="208"/>
      <c r="J38" s="159" cm="1">
        <f t="array" ref="J38">o_Zonweringreductie(J37,J8)</f>
        <v>1</v>
      </c>
      <c r="K38" s="208"/>
      <c r="L38" s="159" cm="1">
        <f t="array" ref="L38">o_Zonweringreductie(L37,J8)</f>
        <v>1</v>
      </c>
      <c r="M38" s="208"/>
      <c r="N38" s="159" cm="1">
        <f t="array" ref="N38">o_Zonweringreductie(N37,N8)</f>
        <v>1</v>
      </c>
      <c r="O38" s="208"/>
      <c r="P38" s="159" cm="1">
        <f t="array" ref="P38">o_Zonweringreductie(P37,N8)</f>
        <v>1</v>
      </c>
      <c r="Q38" s="208"/>
      <c r="R38" s="159" cm="1">
        <f t="array" ref="R38">o_Zonweringreductie(R37,R8)</f>
        <v>1</v>
      </c>
      <c r="S38" s="208"/>
      <c r="T38" s="159" cm="1">
        <f t="array" ref="T38">o_Zonweringreductie(T37,R8)</f>
        <v>1</v>
      </c>
      <c r="U38" s="208"/>
    </row>
    <row r="39" spans="1:21" s="195" customFormat="1" ht="12" customHeight="1" x14ac:dyDescent="0.25">
      <c r="A39" s="36" t="s">
        <v>137</v>
      </c>
      <c r="B39" s="159" cm="1">
        <f t="array" ref="B39">IF(B10="Nee",0,o_Isol_Bij_Tijdstip($B$52,B8,B11))</f>
        <v>0</v>
      </c>
      <c r="C39" s="208" t="s">
        <v>12</v>
      </c>
      <c r="D39" s="159" cm="1">
        <f t="array" ref="D39">IF(B10="Nee",0,o_Isol_Bij_Tijdstip($B$52,B8,B11))</f>
        <v>0</v>
      </c>
      <c r="E39" s="208" t="s">
        <v>12</v>
      </c>
      <c r="F39" s="159" cm="1">
        <f t="array" ref="F39">IF(F10="Nee",0,o_Isol_Bij_Tijdstip($B$52,F8,F11))</f>
        <v>0</v>
      </c>
      <c r="G39" s="208" t="s">
        <v>12</v>
      </c>
      <c r="H39" s="159" cm="1">
        <f t="array" ref="H39">IF(F10="Nee",0,o_Isol_Bij_Tijdstip($B$52,F8,F11))</f>
        <v>0</v>
      </c>
      <c r="I39" s="208" t="s">
        <v>12</v>
      </c>
      <c r="J39" s="159" cm="1">
        <f t="array" ref="J39">IF(J10="Nee",0,o_Isol_Bij_Tijdstip($B$52,J8,J11))</f>
        <v>0</v>
      </c>
      <c r="K39" s="208" t="s">
        <v>12</v>
      </c>
      <c r="L39" s="159" cm="1">
        <f t="array" ref="L39">IF(J10="Nee",0,o_Isol_Bij_Tijdstip($B$52,J8,J11))</f>
        <v>0</v>
      </c>
      <c r="M39" s="208" t="s">
        <v>12</v>
      </c>
      <c r="N39" s="159" cm="1">
        <f t="array" ref="N39">IF(N10="Nee",0,o_Isol_Bij_Tijdstip($B$52,N8,N11))</f>
        <v>0</v>
      </c>
      <c r="O39" s="208" t="s">
        <v>12</v>
      </c>
      <c r="P39" s="159" cm="1">
        <f t="array" ref="P39">IF(N10="Nee",0,o_Isol_Bij_Tijdstip($B$52,N8,N11))</f>
        <v>0</v>
      </c>
      <c r="Q39" s="208" t="s">
        <v>12</v>
      </c>
      <c r="R39" s="159" cm="1">
        <f t="array" ref="R39">IF(R10="Nee",0,o_Isol_Bij_Tijdstip($B$52,R8,R11))</f>
        <v>0</v>
      </c>
      <c r="S39" s="208" t="s">
        <v>12</v>
      </c>
      <c r="T39" s="159" cm="1">
        <f t="array" ref="T39">IF(R10="Nee",0,o_Isol_Bij_Tijdstip($B$52,R8,R11))</f>
        <v>0</v>
      </c>
      <c r="U39" s="208" t="s">
        <v>12</v>
      </c>
    </row>
    <row r="40" spans="1:21" s="195" customFormat="1" x14ac:dyDescent="0.2">
      <c r="A40" s="75"/>
      <c r="B40" s="84"/>
      <c r="C40" s="84"/>
      <c r="D40" s="84"/>
      <c r="E40" s="84"/>
      <c r="F40" s="84"/>
      <c r="G40" s="84"/>
      <c r="H40" s="84"/>
      <c r="I40" s="84"/>
      <c r="J40" s="84"/>
      <c r="K40" s="84"/>
      <c r="L40" s="84"/>
      <c r="M40" s="84"/>
      <c r="N40" s="84"/>
      <c r="O40" s="84"/>
      <c r="P40" s="84"/>
      <c r="Q40" s="84"/>
      <c r="R40" s="84"/>
      <c r="S40" s="84"/>
      <c r="T40" s="84"/>
      <c r="U40" s="84"/>
    </row>
    <row r="41" spans="1:21" s="195" customFormat="1" ht="12" customHeight="1" x14ac:dyDescent="0.25">
      <c r="A41" s="66" t="s">
        <v>138</v>
      </c>
      <c r="B41" s="239" t="e" cm="1">
        <f t="array" ref="B41">VALUE(o_Tijdstip_Isol_Max_Orientatie(B8,B11))</f>
        <v>#VALUE!</v>
      </c>
      <c r="C41" s="239"/>
      <c r="D41" s="240"/>
      <c r="E41" s="87"/>
      <c r="F41" s="239" cm="1">
        <f t="array" ref="F41">VALUE(o_Tijdstip_Isol_Max_Orientatie(F8,F11))</f>
        <v>0.375</v>
      </c>
      <c r="G41" s="239"/>
      <c r="H41" s="240"/>
      <c r="I41" s="87"/>
      <c r="J41" s="239" cm="1">
        <f t="array" ref="J41">VALUE(o_Tijdstip_Isol_Max_Orientatie(J8,J11))</f>
        <v>0.58333333333333337</v>
      </c>
      <c r="K41" s="239"/>
      <c r="L41" s="240"/>
      <c r="M41" s="87"/>
      <c r="N41" s="239" cm="1">
        <f t="array" ref="N41">VALUE(o_Tijdstip_Isol_Max_Orientatie(N8,N11))</f>
        <v>0.625</v>
      </c>
      <c r="O41" s="239"/>
      <c r="P41" s="240"/>
      <c r="Q41" s="87"/>
      <c r="R41" s="239" cm="1">
        <f t="array" ref="R41">VALUE(o_Tijdstip_Isol_Max_Orientatie(R8,R11))</f>
        <v>0.5</v>
      </c>
      <c r="S41" s="239"/>
      <c r="T41" s="240"/>
      <c r="U41" s="84"/>
    </row>
    <row r="42" spans="1:21" s="195" customFormat="1" ht="12" customHeight="1" x14ac:dyDescent="0.25">
      <c r="A42" s="66" t="s">
        <v>139</v>
      </c>
      <c r="B42" s="241" t="e" cm="1">
        <f t="array" ref="B42">o_maxTemp(o_Tijdstip_Isol_Max_Orientatie(B8,B11))</f>
        <v>#VALUE!</v>
      </c>
      <c r="C42" s="241"/>
      <c r="D42" s="241"/>
      <c r="E42" s="207" t="s">
        <v>2</v>
      </c>
      <c r="F42" s="241" cm="1">
        <f t="array" ref="F42">o_maxTemp(o_Tijdstip_Isol_Max_Orientatie(F8,F11))</f>
        <v>24.7</v>
      </c>
      <c r="G42" s="241"/>
      <c r="H42" s="241"/>
      <c r="I42" s="207" t="s">
        <v>2</v>
      </c>
      <c r="J42" s="241" cm="1">
        <f t="array" ref="J42">o_maxTemp(o_Tijdstip_Isol_Max_Orientatie(J8,J11))</f>
        <v>29.9</v>
      </c>
      <c r="K42" s="241"/>
      <c r="L42" s="241"/>
      <c r="M42" s="207" t="s">
        <v>2</v>
      </c>
      <c r="N42" s="241" cm="1">
        <f t="array" ref="N42">o_maxTemp(o_Tijdstip_Isol_Max_Orientatie(N8,N11))</f>
        <v>29.8</v>
      </c>
      <c r="O42" s="241"/>
      <c r="P42" s="241"/>
      <c r="Q42" s="207" t="s">
        <v>2</v>
      </c>
      <c r="R42" s="241" cm="1">
        <f t="array" ref="R42">o_maxTemp(o_Tijdstip_Isol_Max_Orientatie(R8,R11))</f>
        <v>28.9</v>
      </c>
      <c r="S42" s="241"/>
      <c r="T42" s="241"/>
      <c r="U42" s="84"/>
    </row>
    <row r="43" spans="1:21" s="195" customFormat="1" ht="12" customHeight="1" x14ac:dyDescent="0.2">
      <c r="A43" s="75"/>
      <c r="B43" s="75"/>
      <c r="C43" s="75"/>
      <c r="D43" s="75"/>
      <c r="E43" s="35"/>
      <c r="F43" s="75"/>
      <c r="G43" s="75"/>
      <c r="H43" s="75"/>
      <c r="I43" s="75"/>
      <c r="J43" s="75"/>
      <c r="K43" s="75"/>
      <c r="L43" s="75"/>
      <c r="M43" s="75"/>
      <c r="N43" s="75"/>
      <c r="O43" s="75"/>
      <c r="P43" s="75"/>
      <c r="Q43" s="75"/>
      <c r="R43" s="75"/>
      <c r="S43" s="75"/>
      <c r="T43" s="84"/>
      <c r="U43" s="84"/>
    </row>
    <row r="44" spans="1:21" s="195" customFormat="1" ht="12" hidden="1" customHeight="1" x14ac:dyDescent="0.2">
      <c r="A44" s="92" t="s">
        <v>169</v>
      </c>
      <c r="B44" s="96">
        <f>IF(B10="Ja",B18+D18,0)</f>
        <v>0</v>
      </c>
      <c r="C44" s="35" t="s">
        <v>0</v>
      </c>
      <c r="D44" s="75"/>
      <c r="E44" s="35"/>
      <c r="F44" s="96">
        <f>IF(F10="Ja",F18+H18,0)</f>
        <v>0</v>
      </c>
      <c r="G44" s="35" t="s">
        <v>0</v>
      </c>
      <c r="H44" s="75"/>
      <c r="I44" s="75"/>
      <c r="J44" s="96">
        <f>IF(J10="Ja",J18+L18,0)</f>
        <v>0</v>
      </c>
      <c r="K44" s="35" t="s">
        <v>0</v>
      </c>
      <c r="L44" s="75"/>
      <c r="M44" s="75"/>
      <c r="N44" s="96">
        <f>IF(N10="Ja",N18+P18,0)</f>
        <v>0</v>
      </c>
      <c r="O44" s="35" t="s">
        <v>0</v>
      </c>
      <c r="P44" s="75"/>
      <c r="Q44" s="75"/>
      <c r="R44" s="96">
        <f>IF(R10="Ja",R18+T18,0)</f>
        <v>0</v>
      </c>
      <c r="S44" s="35" t="s">
        <v>0</v>
      </c>
      <c r="T44" s="84"/>
      <c r="U44" s="84"/>
    </row>
    <row r="45" spans="1:21" s="195" customFormat="1" ht="12" hidden="1" customHeight="1" x14ac:dyDescent="0.2">
      <c r="A45" s="92" t="s">
        <v>126</v>
      </c>
      <c r="B45" s="93" t="b">
        <f>IF(B10="Ja",IF(B8="Noord",FALSE,TRUE),FALSE)</f>
        <v>0</v>
      </c>
      <c r="C45" s="35"/>
      <c r="D45" s="35"/>
      <c r="E45" s="35"/>
      <c r="F45" s="94" t="b">
        <f>IF(F10="Ja",IF(F8="Noord",FALSE,TRUE),FALSE)</f>
        <v>0</v>
      </c>
      <c r="G45" s="75"/>
      <c r="H45" s="75"/>
      <c r="I45" s="75"/>
      <c r="J45" s="94" t="b">
        <f>IF(J10="Ja",IF(J8="Noord",FALSE,TRUE),FALSE)</f>
        <v>0</v>
      </c>
      <c r="K45" s="75"/>
      <c r="L45" s="75"/>
      <c r="M45" s="75"/>
      <c r="N45" s="94" t="b">
        <f>IF(N10="Ja",IF(N8="Noord",FALSE,TRUE),FALSE)</f>
        <v>0</v>
      </c>
      <c r="O45" s="75"/>
      <c r="P45" s="75"/>
      <c r="Q45" s="75"/>
      <c r="R45" s="94" t="b">
        <f>IF(R10="Ja",IF(R8="Noord",FALSE,TRUE),FALSE)</f>
        <v>0</v>
      </c>
      <c r="S45" s="75"/>
      <c r="T45" s="84"/>
      <c r="U45" s="84"/>
    </row>
    <row r="46" spans="1:21" s="195" customFormat="1" ht="12" hidden="1" customHeight="1" x14ac:dyDescent="0.2">
      <c r="A46" s="92" t="s">
        <v>109</v>
      </c>
      <c r="B46" s="95" t="b">
        <f>IF(AND(B45=TRUE,COUNTIF($B$45:$R$45,TRUE)=1),TRUE,FALSE)</f>
        <v>0</v>
      </c>
      <c r="C46" s="35"/>
      <c r="D46" s="75"/>
      <c r="E46" s="35"/>
      <c r="F46" s="95" t="b">
        <f>IF(AND(F45=TRUE,COUNTIF($B$45:$R$45,TRUE)=1),TRUE,FALSE)</f>
        <v>0</v>
      </c>
      <c r="G46" s="75"/>
      <c r="H46" s="75"/>
      <c r="I46" s="75"/>
      <c r="J46" s="95" t="b">
        <f>IF(AND(J45=TRUE,COUNTIF($B$45:$R$45,TRUE)=1),TRUE,FALSE)</f>
        <v>0</v>
      </c>
      <c r="K46" s="75"/>
      <c r="L46" s="75"/>
      <c r="M46" s="75"/>
      <c r="N46" s="95" t="b">
        <f>IF(AND(N45=TRUE,COUNTIF($B$45:$R$45,TRUE)=1),TRUE,FALSE)</f>
        <v>0</v>
      </c>
      <c r="O46" s="75"/>
      <c r="P46" s="75"/>
      <c r="Q46" s="75"/>
      <c r="R46" s="95" t="b">
        <f>IF(AND(R45=TRUE,COUNTIF($B$45:$R$45,TRUE)=1),TRUE,FALSE)</f>
        <v>0</v>
      </c>
      <c r="S46" s="75"/>
      <c r="T46" s="84"/>
      <c r="U46" s="84"/>
    </row>
    <row r="47" spans="1:21" s="195" customFormat="1" ht="12" hidden="1" customHeight="1" x14ac:dyDescent="0.2">
      <c r="A47" s="92" t="s">
        <v>152</v>
      </c>
      <c r="B47" s="96">
        <f>IF(B8&lt;&gt;"Noord",B44,0)</f>
        <v>0</v>
      </c>
      <c r="C47" s="35" t="s">
        <v>0</v>
      </c>
      <c r="D47" s="75"/>
      <c r="E47" s="35"/>
      <c r="F47" s="96">
        <f>IF(F8&lt;&gt;"Noord",F44,0)</f>
        <v>0</v>
      </c>
      <c r="G47" s="35" t="s">
        <v>0</v>
      </c>
      <c r="H47" s="75"/>
      <c r="I47" s="75"/>
      <c r="J47" s="96">
        <f>IF(J8&lt;&gt;"Noord",J44,0)</f>
        <v>0</v>
      </c>
      <c r="K47" s="35" t="s">
        <v>0</v>
      </c>
      <c r="L47" s="75"/>
      <c r="M47" s="75"/>
      <c r="N47" s="96">
        <f>IF(N8&lt;&gt;"Noord",N44,0)</f>
        <v>0</v>
      </c>
      <c r="O47" s="35" t="s">
        <v>0</v>
      </c>
      <c r="P47" s="75"/>
      <c r="Q47" s="75"/>
      <c r="R47" s="96">
        <f>R44</f>
        <v>0</v>
      </c>
      <c r="S47" s="35" t="s">
        <v>0</v>
      </c>
      <c r="T47" s="84"/>
      <c r="U47" s="84"/>
    </row>
    <row r="48" spans="1:21" s="195" customFormat="1" ht="12" hidden="1" customHeight="1" x14ac:dyDescent="0.2">
      <c r="A48" s="92" t="s">
        <v>153</v>
      </c>
      <c r="B48" s="97" t="b">
        <f>IF(AND(B45,B47=MAX($B$47:$R$47)),TRUE,FALSE)</f>
        <v>0</v>
      </c>
      <c r="C48" s="35"/>
      <c r="D48" s="75"/>
      <c r="E48" s="35"/>
      <c r="F48" s="97" t="b">
        <f>IF(AND(F45,F47=MAX($B$47:$R$47)),TRUE,FALSE)</f>
        <v>0</v>
      </c>
      <c r="G48" s="75"/>
      <c r="H48" s="75"/>
      <c r="I48" s="75"/>
      <c r="J48" s="97" t="b">
        <f>IF(AND(J45,J47=MAX($B$47:$R$47)),TRUE,FALSE)</f>
        <v>0</v>
      </c>
      <c r="K48" s="75"/>
      <c r="L48" s="75"/>
      <c r="M48" s="75"/>
      <c r="N48" s="97" t="b">
        <f>IF(AND(N45,N47=MAX($B$47:$R$47)),TRUE,FALSE)</f>
        <v>0</v>
      </c>
      <c r="O48" s="75"/>
      <c r="P48" s="75"/>
      <c r="Q48" s="75"/>
      <c r="R48" s="97" t="b">
        <f>IF(AND(R45,R47=MAX($B$47:$R$47)),TRUE,FALSE)</f>
        <v>0</v>
      </c>
      <c r="S48" s="75"/>
      <c r="T48" s="84"/>
      <c r="U48" s="84"/>
    </row>
    <row r="49" spans="1:21" s="195" customFormat="1" ht="12" hidden="1" customHeight="1" x14ac:dyDescent="0.2">
      <c r="A49" s="92" t="s">
        <v>125</v>
      </c>
      <c r="B49" s="98" t="e">
        <f>IF(AND(B11&lt;90,B15&gt;3*(B18+D18),'Projectgegevens en Resultaten'!#REF!&lt;65),TRUE,FALSE)</f>
        <v>#REF!</v>
      </c>
      <c r="C49" s="35"/>
      <c r="D49" s="35"/>
      <c r="E49" s="35"/>
      <c r="F49" s="98" t="e">
        <f>IF(AND(F11&lt;90,F15&gt;3*(F18+H18),'Projectgegevens en Resultaten'!#REF!&lt;65),TRUE,FALSE)</f>
        <v>#REF!</v>
      </c>
      <c r="G49" s="75"/>
      <c r="H49" s="75"/>
      <c r="I49" s="75"/>
      <c r="J49" s="98" t="e">
        <f>IF(AND(J11&lt;90,J15&gt;3*(J18+L18),'Projectgegevens en Resultaten'!#REF!&lt;65),TRUE,FALSE)</f>
        <v>#REF!</v>
      </c>
      <c r="K49" s="75"/>
      <c r="L49" s="75"/>
      <c r="M49" s="75"/>
      <c r="N49" s="98" t="e">
        <f>IF(AND(N11&lt;90,N15&gt;3*(N18+P18),'Projectgegevens en Resultaten'!#REF!&lt;65),TRUE,FALSE)</f>
        <v>#REF!</v>
      </c>
      <c r="O49" s="75"/>
      <c r="P49" s="75"/>
      <c r="Q49" s="75"/>
      <c r="R49" s="98" t="e">
        <f>IF(AND(R11&lt;90,R15&gt;3*(R18+T18),'Projectgegevens en Resultaten'!#REF!&lt;65),TRUE,FALSE)</f>
        <v>#REF!</v>
      </c>
      <c r="S49" s="75"/>
      <c r="T49" s="84"/>
      <c r="U49" s="84"/>
    </row>
    <row r="50" spans="1:21" s="195" customFormat="1" ht="12" hidden="1" customHeight="1" x14ac:dyDescent="0.2">
      <c r="A50" s="92" t="s">
        <v>154</v>
      </c>
      <c r="B50" s="98" t="b">
        <f>IF(COUNTIF($B$49:$R$49,TRUE)&gt;0,TRUE,FALSE)</f>
        <v>0</v>
      </c>
      <c r="C50" s="35"/>
      <c r="D50" s="35"/>
      <c r="E50" s="35"/>
      <c r="F50" s="98" t="b">
        <f>IF(COUNTIF($B$49:$R$49,TRUE)&gt;0,TRUE,FALSE)</f>
        <v>0</v>
      </c>
      <c r="G50" s="75"/>
      <c r="H50" s="75"/>
      <c r="I50" s="75"/>
      <c r="J50" s="98" t="b">
        <f>IF(COUNTIF($B$49:$R$49,TRUE)&gt;0,TRUE,FALSE)</f>
        <v>0</v>
      </c>
      <c r="K50" s="75"/>
      <c r="L50" s="75"/>
      <c r="M50" s="75"/>
      <c r="N50" s="98" t="b">
        <f>IF(COUNTIF($B$49:$R$49,TRUE)&gt;0,TRUE,FALSE)</f>
        <v>0</v>
      </c>
      <c r="O50" s="75"/>
      <c r="P50" s="75"/>
      <c r="Q50" s="75"/>
      <c r="R50" s="98" t="b">
        <f>IF(COUNTIF($B$49:$R$49,TRUE)&gt;0,TRUE,FALSE)</f>
        <v>0</v>
      </c>
      <c r="S50" s="75"/>
      <c r="T50" s="84"/>
      <c r="U50" s="84"/>
    </row>
    <row r="51" spans="1:21" s="195" customFormat="1" ht="12" hidden="1" customHeight="1" x14ac:dyDescent="0.2">
      <c r="A51" s="92" t="s">
        <v>151</v>
      </c>
      <c r="B51" s="99" t="e">
        <f>IF(OR(B46,AND(B45,B50,B49),AND(B45,B48,NOT(B50))),B41)</f>
        <v>#REF!</v>
      </c>
      <c r="C51" s="35"/>
      <c r="D51" s="35"/>
      <c r="E51" s="35"/>
      <c r="F51" s="99" t="e">
        <f>IF(OR(F46,AND(F45,F50,F49),AND(F45,F48,NOT(F50))),F41)</f>
        <v>#REF!</v>
      </c>
      <c r="G51" s="75"/>
      <c r="H51" s="35"/>
      <c r="I51" s="75"/>
      <c r="J51" s="99" t="e">
        <f>IF(OR(J46,AND(J45,J50,J49),AND(J45,J48,NOT(J50))),J41)</f>
        <v>#REF!</v>
      </c>
      <c r="K51" s="75"/>
      <c r="L51" s="35"/>
      <c r="M51" s="75"/>
      <c r="N51" s="99" t="e">
        <f>IF(OR(N46,AND(N45,N50,N49),AND(N45,N48,NOT(N50))),N41)</f>
        <v>#REF!</v>
      </c>
      <c r="O51" s="75"/>
      <c r="P51" s="75"/>
      <c r="Q51" s="75"/>
      <c r="R51" s="99" t="e">
        <f>IF(OR(R46,AND(R45,R50,R49),AND(R45,R48,NOT(R50))),R41)</f>
        <v>#REF!</v>
      </c>
      <c r="S51" s="75"/>
      <c r="T51" s="84"/>
      <c r="U51" s="84"/>
    </row>
    <row r="52" spans="1:21" s="195" customFormat="1" ht="12" customHeight="1" x14ac:dyDescent="0.25">
      <c r="A52" s="39" t="s">
        <v>140</v>
      </c>
      <c r="B52" s="100" t="str">
        <f>IFERROR(B88,"geen glas ingevoerd")</f>
        <v>Geen glas aanwezig</v>
      </c>
      <c r="C52" s="35"/>
      <c r="D52" s="35"/>
      <c r="E52" s="35"/>
      <c r="F52" s="75"/>
      <c r="G52" s="75"/>
      <c r="H52" s="75"/>
      <c r="I52" s="75"/>
      <c r="J52" s="75"/>
      <c r="K52" s="75"/>
      <c r="L52" s="75"/>
      <c r="M52" s="75"/>
      <c r="N52" s="75"/>
      <c r="O52" s="75"/>
      <c r="P52" s="75"/>
      <c r="Q52" s="75"/>
      <c r="R52" s="75"/>
      <c r="S52" s="75"/>
      <c r="T52" s="84"/>
      <c r="U52" s="84"/>
    </row>
    <row r="53" spans="1:21" s="195" customFormat="1" ht="12" customHeight="1" x14ac:dyDescent="0.25">
      <c r="A53" s="66" t="s">
        <v>139</v>
      </c>
      <c r="B53" s="98" t="str">
        <f>IF(MAX(T77:T86)=0,"",_xlfn.XLOOKUP(MAX(T77:T86),T77:T86,$D$77:$D$86,"nvt"))</f>
        <v/>
      </c>
      <c r="C53" s="71" t="s">
        <v>2</v>
      </c>
      <c r="D53" s="35"/>
      <c r="E53" s="35"/>
      <c r="F53" s="75"/>
      <c r="G53" s="75"/>
      <c r="H53" s="75"/>
      <c r="I53" s="75"/>
      <c r="J53" s="75"/>
      <c r="K53" s="75"/>
      <c r="L53" s="75"/>
      <c r="M53" s="75"/>
      <c r="N53" s="75"/>
      <c r="O53" s="75"/>
      <c r="P53" s="75"/>
      <c r="Q53" s="75"/>
      <c r="R53" s="75"/>
      <c r="S53" s="75"/>
      <c r="T53" s="84"/>
      <c r="U53" s="84"/>
    </row>
    <row r="54" spans="1:21" s="195" customFormat="1" ht="12" customHeight="1" x14ac:dyDescent="0.2">
      <c r="A54" s="75"/>
      <c r="B54" s="75"/>
      <c r="C54" s="75"/>
      <c r="D54" s="75"/>
      <c r="E54" s="75"/>
      <c r="F54" s="75"/>
      <c r="G54" s="75"/>
      <c r="H54" s="75"/>
      <c r="I54" s="75"/>
      <c r="J54" s="75"/>
      <c r="K54" s="75"/>
      <c r="L54" s="75"/>
      <c r="M54" s="75"/>
      <c r="N54" s="75"/>
      <c r="O54" s="75"/>
      <c r="P54" s="75"/>
      <c r="Q54" s="75"/>
      <c r="R54" s="75"/>
      <c r="S54" s="75"/>
      <c r="T54" s="84"/>
      <c r="U54" s="84"/>
    </row>
    <row r="55" spans="1:21" s="195" customFormat="1" ht="12" customHeight="1" x14ac:dyDescent="0.25">
      <c r="A55" s="36" t="s">
        <v>260</v>
      </c>
      <c r="B55" s="248">
        <f>IF(B10="Nee",0,B16*'Projectgegevens en Resultaten'!$B$16)</f>
        <v>0</v>
      </c>
      <c r="C55" s="248"/>
      <c r="D55" s="249"/>
      <c r="E55" s="40" t="s">
        <v>11</v>
      </c>
      <c r="F55" s="248">
        <f>IF(F10="Nee",0,F16*'Projectgegevens en Resultaten'!$B$16)</f>
        <v>0</v>
      </c>
      <c r="G55" s="248"/>
      <c r="H55" s="249"/>
      <c r="I55" s="40" t="s">
        <v>11</v>
      </c>
      <c r="J55" s="248">
        <f>IF(J10="Nee",0,J16*'Projectgegevens en Resultaten'!$B$16)</f>
        <v>0</v>
      </c>
      <c r="K55" s="248"/>
      <c r="L55" s="249"/>
      <c r="M55" s="40" t="s">
        <v>11</v>
      </c>
      <c r="N55" s="248">
        <f>IF(N10="Nee",0,N16*'Projectgegevens en Resultaten'!$B$16)</f>
        <v>0</v>
      </c>
      <c r="O55" s="248"/>
      <c r="P55" s="249"/>
      <c r="Q55" s="40" t="s">
        <v>11</v>
      </c>
      <c r="R55" s="248">
        <f>IF(R10="Nee",0,R16*'Projectgegevens en Resultaten'!$B$16)</f>
        <v>0</v>
      </c>
      <c r="S55" s="248"/>
      <c r="T55" s="249"/>
      <c r="U55" s="40" t="s">
        <v>11</v>
      </c>
    </row>
    <row r="56" spans="1:21" s="195" customFormat="1" ht="12" customHeight="1" x14ac:dyDescent="0.25">
      <c r="A56" s="72" t="s">
        <v>142</v>
      </c>
      <c r="B56" s="242">
        <f>(0.75*B18*FLOOR(B20,0.05)*0.9*B35*B38*B39)+(0.75*D18*FLOOR(D20,0.05)*0.9*D35*D38*D39)</f>
        <v>0</v>
      </c>
      <c r="C56" s="242"/>
      <c r="D56" s="243"/>
      <c r="E56" s="40" t="s">
        <v>11</v>
      </c>
      <c r="F56" s="242">
        <f>(0.75*F18*FLOOR(F20,0.05)*0.9*F35*F38*F39)+(0.75*H18*FLOOR(H20,0.05)*0.9*H35*H38*H39)</f>
        <v>0</v>
      </c>
      <c r="G56" s="242"/>
      <c r="H56" s="243"/>
      <c r="I56" s="40" t="s">
        <v>11</v>
      </c>
      <c r="J56" s="242">
        <f>(0.75*J18*FLOOR(J20,0.05)*0.9*J35*J38*J39)+(0.75*L18*FLOOR(L20,0.05)*0.9*L35*L38*L39)</f>
        <v>0</v>
      </c>
      <c r="K56" s="242"/>
      <c r="L56" s="243"/>
      <c r="M56" s="40" t="s">
        <v>11</v>
      </c>
      <c r="N56" s="242">
        <f>(0.75*N18*FLOOR(N20,0.05)*0.9*N35*N38*N39)+(0.75*P18*FLOOR(P20,0.05)*0.9*P35*P38*P39)</f>
        <v>0</v>
      </c>
      <c r="O56" s="242"/>
      <c r="P56" s="243"/>
      <c r="Q56" s="40" t="s">
        <v>11</v>
      </c>
      <c r="R56" s="242">
        <f>(0.75*R18*FLOOR(R20,0.05)*0.9*R35*R38*R39)+(0.75*T18*FLOOR(T20,0.05)*0.9*T35*T38*T39)</f>
        <v>0</v>
      </c>
      <c r="S56" s="242"/>
      <c r="T56" s="243"/>
      <c r="U56" s="40" t="s">
        <v>11</v>
      </c>
    </row>
    <row r="57" spans="1:21" s="195" customFormat="1" ht="12" customHeight="1" x14ac:dyDescent="0.25">
      <c r="A57" s="72" t="s">
        <v>143</v>
      </c>
      <c r="B57" s="248">
        <f>IF(B10="Nee",0,IFERROR(B18*B19*($B$53-24),0)+IFERROR(D18*D19*($B$53-24),0))</f>
        <v>0</v>
      </c>
      <c r="C57" s="248"/>
      <c r="D57" s="249"/>
      <c r="E57" s="40" t="s">
        <v>11</v>
      </c>
      <c r="F57" s="248">
        <f>IF(F10="Nee",0,IFERROR(F18*F19*($B$53-24),0)+IFERROR(H18*H19*($B$53-24),0))</f>
        <v>0</v>
      </c>
      <c r="G57" s="248"/>
      <c r="H57" s="249"/>
      <c r="I57" s="40" t="s">
        <v>11</v>
      </c>
      <c r="J57" s="248">
        <f>IF(J10="Nee",0,IFERROR(J18*J19*($B$53-24),0)+IFERROR(L18*L19*($B$53-24),0))</f>
        <v>0</v>
      </c>
      <c r="K57" s="248"/>
      <c r="L57" s="249"/>
      <c r="M57" s="40" t="s">
        <v>11</v>
      </c>
      <c r="N57" s="248">
        <f>IF(N10="Nee",0,IFERROR(N18*N19*($B$53-24),0)+IFERROR(P18*P19*($B$53-24),0))</f>
        <v>0</v>
      </c>
      <c r="O57" s="248"/>
      <c r="P57" s="249"/>
      <c r="Q57" s="40" t="s">
        <v>11</v>
      </c>
      <c r="R57" s="248">
        <f>IF(R10="Nee",0,IFERROR(R18*R19*($B$53-24),0)+IFERROR(T18*T19*($B$53-24),0))</f>
        <v>0</v>
      </c>
      <c r="S57" s="248"/>
      <c r="T57" s="249"/>
      <c r="U57" s="40" t="s">
        <v>11</v>
      </c>
    </row>
    <row r="58" spans="1:21" s="195" customFormat="1" ht="12" customHeight="1" x14ac:dyDescent="0.2">
      <c r="A58" s="66" t="s">
        <v>100</v>
      </c>
      <c r="B58" s="246">
        <f>SUM(B55:D57)</f>
        <v>0</v>
      </c>
      <c r="C58" s="246"/>
      <c r="D58" s="247"/>
      <c r="E58" s="40" t="s">
        <v>11</v>
      </c>
      <c r="F58" s="246">
        <f>SUM(F55:H57)</f>
        <v>0</v>
      </c>
      <c r="G58" s="246"/>
      <c r="H58" s="247"/>
      <c r="I58" s="41" t="s">
        <v>11</v>
      </c>
      <c r="J58" s="246">
        <f>SUM(J55:L57)</f>
        <v>0</v>
      </c>
      <c r="K58" s="246"/>
      <c r="L58" s="247"/>
      <c r="M58" s="41" t="s">
        <v>11</v>
      </c>
      <c r="N58" s="246">
        <f>SUM(N55:P57)</f>
        <v>0</v>
      </c>
      <c r="O58" s="246"/>
      <c r="P58" s="247"/>
      <c r="Q58" s="41" t="s">
        <v>11</v>
      </c>
      <c r="R58" s="250">
        <f>SUM(R55:R57)</f>
        <v>0</v>
      </c>
      <c r="S58" s="250"/>
      <c r="T58" s="250"/>
      <c r="U58" s="41" t="s">
        <v>11</v>
      </c>
    </row>
    <row r="59" spans="1:21" s="195" customFormat="1" ht="12" customHeight="1" x14ac:dyDescent="0.2">
      <c r="A59" s="75"/>
      <c r="B59" s="76"/>
      <c r="C59" s="76"/>
      <c r="D59" s="76"/>
      <c r="E59" s="75"/>
      <c r="F59" s="75"/>
      <c r="G59" s="75"/>
      <c r="H59" s="75"/>
      <c r="I59" s="75"/>
      <c r="J59" s="75"/>
      <c r="K59" s="75"/>
      <c r="L59" s="75"/>
      <c r="M59" s="75"/>
      <c r="N59" s="75"/>
      <c r="O59" s="75"/>
      <c r="P59" s="75"/>
      <c r="Q59" s="75"/>
      <c r="R59" s="75"/>
      <c r="S59" s="75"/>
      <c r="T59" s="75"/>
      <c r="U59" s="84"/>
    </row>
    <row r="60" spans="1:21" s="195" customFormat="1" ht="12" customHeight="1" x14ac:dyDescent="0.25">
      <c r="A60" s="36" t="s">
        <v>144</v>
      </c>
      <c r="B60" s="242">
        <f>IF(B5=0,0,IF(B4="Woonvertrek",2*'Projectgegevens en Resultaten'!$B$33*B5,'Projectgegevens en Resultaten'!$B$33*B5))</f>
        <v>0</v>
      </c>
      <c r="C60" s="242"/>
      <c r="D60" s="243"/>
      <c r="E60" s="40" t="s">
        <v>11</v>
      </c>
      <c r="F60" s="75"/>
      <c r="G60" s="75"/>
      <c r="H60" s="75"/>
      <c r="I60" s="75"/>
      <c r="J60" s="75"/>
      <c r="K60" s="75"/>
      <c r="L60" s="75"/>
      <c r="M60" s="75"/>
      <c r="N60" s="75"/>
      <c r="O60" s="75"/>
      <c r="P60" s="75"/>
      <c r="Q60" s="75"/>
      <c r="R60" s="65"/>
      <c r="S60" s="35"/>
      <c r="T60" s="75"/>
      <c r="U60" s="84"/>
    </row>
    <row r="61" spans="1:21" s="195" customFormat="1" ht="12" customHeight="1" x14ac:dyDescent="0.25">
      <c r="A61" s="36" t="s">
        <v>145</v>
      </c>
      <c r="B61" s="244">
        <f>IFERROR(MAX((SUM('Projectgegevens en Resultaten'!$B$21:$B$23)/3600*1.205*1005*(B53-24))/SUM('Projectgegevens en Resultaten'!$B$40:$T$40)*B5,0),0)</f>
        <v>0</v>
      </c>
      <c r="C61" s="244">
        <f>IFERROR(MAX(SUM(C57:C59)/3600*1.205*1005*(C60-24),0),0)</f>
        <v>0</v>
      </c>
      <c r="D61" s="245">
        <f>IFERROR(MAX(SUM(D57:D59)/3600*1.205*1005*(D60-24),0),0)</f>
        <v>0</v>
      </c>
      <c r="E61" s="40" t="s">
        <v>11</v>
      </c>
      <c r="F61" s="75"/>
      <c r="G61" s="75"/>
      <c r="H61" s="75"/>
      <c r="I61" s="75"/>
      <c r="J61" s="75"/>
      <c r="K61" s="75"/>
      <c r="L61" s="75"/>
      <c r="M61" s="75"/>
      <c r="N61" s="75"/>
      <c r="O61" s="75"/>
      <c r="P61" s="75"/>
      <c r="Q61" s="75"/>
      <c r="R61" s="65"/>
      <c r="S61" s="35"/>
      <c r="T61" s="75"/>
      <c r="U61" s="84"/>
    </row>
    <row r="62" spans="1:21" s="195" customFormat="1" ht="12" customHeight="1" x14ac:dyDescent="0.2">
      <c r="A62" s="75"/>
      <c r="B62" s="76"/>
      <c r="C62" s="76"/>
      <c r="D62" s="76"/>
      <c r="E62" s="75"/>
      <c r="F62" s="75"/>
      <c r="G62" s="75"/>
      <c r="H62" s="75"/>
      <c r="I62" s="75"/>
      <c r="J62" s="75"/>
      <c r="K62" s="75"/>
      <c r="L62" s="75"/>
      <c r="M62" s="75"/>
      <c r="N62" s="75"/>
      <c r="O62" s="75"/>
      <c r="P62" s="75"/>
      <c r="Q62" s="75"/>
      <c r="R62" s="75"/>
      <c r="S62" s="75"/>
      <c r="T62" s="75"/>
      <c r="U62" s="84"/>
    </row>
    <row r="63" spans="1:21" s="195" customFormat="1" ht="12" customHeight="1" x14ac:dyDescent="0.2">
      <c r="A63" s="72" t="s">
        <v>167</v>
      </c>
      <c r="B63" s="242">
        <f>IFERROR(SUM(B58:T58)+B60+B61,0)</f>
        <v>0</v>
      </c>
      <c r="C63" s="242"/>
      <c r="D63" s="243"/>
      <c r="E63" s="40" t="s">
        <v>11</v>
      </c>
      <c r="F63" s="35"/>
      <c r="G63" s="35"/>
      <c r="H63" s="35"/>
      <c r="I63" s="35"/>
      <c r="J63" s="35"/>
      <c r="K63" s="35"/>
      <c r="L63" s="35"/>
      <c r="M63" s="35"/>
      <c r="N63" s="35"/>
      <c r="O63" s="35"/>
      <c r="P63" s="35"/>
      <c r="Q63" s="35"/>
      <c r="R63" s="35"/>
      <c r="S63" s="35"/>
      <c r="T63" s="75"/>
      <c r="U63" s="84"/>
    </row>
    <row r="64" spans="1:21" s="195" customFormat="1" ht="12" customHeight="1" x14ac:dyDescent="0.2">
      <c r="A64" s="72" t="s">
        <v>99</v>
      </c>
      <c r="B64" s="246">
        <f>IFERROR(B63/B5,0)</f>
        <v>0</v>
      </c>
      <c r="C64" s="246"/>
      <c r="D64" s="247"/>
      <c r="E64" s="40" t="s">
        <v>12</v>
      </c>
      <c r="F64" s="35"/>
      <c r="G64" s="35"/>
      <c r="H64" s="35"/>
      <c r="I64" s="35"/>
      <c r="J64" s="35"/>
      <c r="K64" s="35"/>
      <c r="L64" s="35"/>
      <c r="M64" s="35"/>
      <c r="N64" s="35"/>
      <c r="O64" s="35"/>
      <c r="P64" s="35"/>
      <c r="Q64" s="35"/>
      <c r="R64" s="35"/>
      <c r="S64" s="35"/>
      <c r="T64" s="75"/>
      <c r="U64" s="84"/>
    </row>
    <row r="65" spans="1:21" s="195" customFormat="1" ht="12" customHeight="1" x14ac:dyDescent="0.2">
      <c r="A65" s="75"/>
      <c r="B65" s="75"/>
      <c r="C65" s="75"/>
      <c r="D65" s="75"/>
      <c r="E65" s="75"/>
      <c r="F65" s="75"/>
      <c r="G65" s="75"/>
      <c r="H65" s="75"/>
      <c r="I65" s="75"/>
      <c r="J65" s="75"/>
      <c r="K65" s="75"/>
      <c r="L65" s="75"/>
      <c r="M65" s="75"/>
      <c r="N65" s="75"/>
      <c r="O65" s="75"/>
      <c r="P65" s="75"/>
      <c r="Q65" s="75"/>
      <c r="R65" s="75"/>
      <c r="S65" s="75"/>
      <c r="T65" s="75"/>
      <c r="U65" s="84"/>
    </row>
    <row r="70" spans="1:21" hidden="1" x14ac:dyDescent="0.2"/>
    <row r="71" spans="1:21" ht="15" hidden="1" customHeight="1" x14ac:dyDescent="0.2">
      <c r="A71" s="236" t="s">
        <v>251</v>
      </c>
      <c r="B71" s="236"/>
      <c r="C71" s="236"/>
      <c r="D71" s="236"/>
      <c r="E71" s="236"/>
      <c r="F71" s="236"/>
      <c r="G71" s="236"/>
      <c r="H71" s="236"/>
      <c r="I71" s="236"/>
      <c r="J71" s="236"/>
      <c r="K71" s="236"/>
      <c r="L71" s="236"/>
      <c r="M71" s="236"/>
      <c r="N71" s="236"/>
      <c r="O71" s="236"/>
      <c r="P71" s="236"/>
      <c r="Q71" s="236"/>
      <c r="R71" s="236"/>
      <c r="S71" s="236"/>
      <c r="T71" s="236"/>
      <c r="U71" s="236"/>
    </row>
    <row r="72" spans="1:21" ht="15" hidden="1" customHeight="1" x14ac:dyDescent="0.2">
      <c r="A72" s="236"/>
      <c r="B72" s="236"/>
      <c r="C72" s="236"/>
      <c r="D72" s="236"/>
      <c r="E72" s="236"/>
      <c r="F72" s="236"/>
      <c r="G72" s="236"/>
      <c r="H72" s="236"/>
      <c r="I72" s="236"/>
      <c r="J72" s="236"/>
      <c r="K72" s="236"/>
      <c r="L72" s="236"/>
      <c r="M72" s="236"/>
      <c r="N72" s="236"/>
      <c r="O72" s="236"/>
      <c r="P72" s="236"/>
      <c r="Q72" s="236"/>
      <c r="R72" s="236"/>
      <c r="S72" s="236"/>
      <c r="T72" s="236"/>
      <c r="U72" s="236"/>
    </row>
    <row r="73" spans="1:21" hidden="1" x14ac:dyDescent="0.2">
      <c r="A73" s="196" t="s">
        <v>249</v>
      </c>
      <c r="B73" s="197" cm="1">
        <f t="array" ref="B73">IF(B$10="Nee",0,o_Isol_Max_Orientatie(B8,B11))</f>
        <v>0</v>
      </c>
      <c r="C73" s="198" t="s">
        <v>12</v>
      </c>
      <c r="D73" s="198"/>
      <c r="E73" s="198"/>
      <c r="F73" s="197" cm="1">
        <f t="array" ref="F73">IF(F$10="Nee",0,o_Isol_Max_Orientatie(F8,F11))</f>
        <v>0</v>
      </c>
      <c r="G73" s="198" t="s">
        <v>12</v>
      </c>
      <c r="H73" s="198"/>
      <c r="I73" s="198"/>
      <c r="J73" s="197" cm="1">
        <f t="array" ref="J73">IF(J$10="Nee",0,o_Isol_Max_Orientatie(J8,J11))</f>
        <v>0</v>
      </c>
      <c r="K73" s="198" t="s">
        <v>12</v>
      </c>
      <c r="L73" s="198"/>
      <c r="M73" s="198"/>
      <c r="N73" s="197" cm="1">
        <f t="array" ref="N73">IF(N$10="Nee",0,o_Isol_Max_Orientatie(N8,N11))</f>
        <v>0</v>
      </c>
      <c r="O73" s="198" t="s">
        <v>12</v>
      </c>
      <c r="P73" s="198"/>
      <c r="Q73" s="198"/>
      <c r="R73" s="197" cm="1">
        <f t="array" ref="R73">IF(R$10="Nee",0,o_Isol_Max_Orientatie(R8,R11))</f>
        <v>0</v>
      </c>
      <c r="S73" s="198" t="s">
        <v>12</v>
      </c>
      <c r="T73" s="198"/>
      <c r="U73" s="198"/>
    </row>
    <row r="74" spans="1:21" hidden="1" x14ac:dyDescent="0.2">
      <c r="A74" s="196" t="s">
        <v>250</v>
      </c>
      <c r="B74" s="199" t="e" cm="1">
        <f t="array" ref="B74">VALUE(o_Tijdstip_Isol_Max_Orientatie(B8,B11))</f>
        <v>#VALUE!</v>
      </c>
      <c r="C74" s="198"/>
      <c r="D74" s="198"/>
      <c r="E74" s="198"/>
      <c r="F74" s="200" cm="1">
        <f t="array" ref="F74">VALUE(o_Tijdstip_Isol_Max_Orientatie(F8,F11))</f>
        <v>0.375</v>
      </c>
      <c r="G74" s="198"/>
      <c r="H74" s="198"/>
      <c r="I74" s="198"/>
      <c r="J74" s="200" cm="1">
        <f t="array" ref="J74">VALUE(o_Tijdstip_Isol_Max_Orientatie(J8,J11))</f>
        <v>0.58333333333333337</v>
      </c>
      <c r="K74" s="198"/>
      <c r="L74" s="198"/>
      <c r="M74" s="198"/>
      <c r="N74" s="200" cm="1">
        <f t="array" ref="N74">VALUE(o_Tijdstip_Isol_Max_Orientatie(N8,N11))</f>
        <v>0.625</v>
      </c>
      <c r="O74" s="198"/>
      <c r="P74" s="198"/>
      <c r="Q74" s="198"/>
      <c r="R74" s="200" cm="1">
        <f t="array" ref="R74">VALUE(o_Tijdstip_Isol_Max_Orientatie(R8,R11))</f>
        <v>0.5</v>
      </c>
      <c r="S74" s="198"/>
      <c r="T74" s="198"/>
      <c r="U74" s="198"/>
    </row>
    <row r="75" spans="1:21" hidden="1" x14ac:dyDescent="0.2">
      <c r="A75" s="196"/>
      <c r="B75" s="196"/>
      <c r="C75" s="196"/>
      <c r="D75" s="196"/>
      <c r="E75" s="196"/>
      <c r="F75" s="196"/>
      <c r="G75" s="196"/>
      <c r="H75" s="196"/>
      <c r="I75" s="196"/>
      <c r="J75" s="196"/>
      <c r="K75" s="196"/>
      <c r="L75" s="196"/>
      <c r="M75" s="196"/>
      <c r="N75" s="196"/>
      <c r="O75" s="196"/>
      <c r="P75" s="196"/>
      <c r="Q75" s="196"/>
      <c r="R75" s="196"/>
      <c r="S75" s="196"/>
      <c r="T75" s="196"/>
      <c r="U75" s="196"/>
    </row>
    <row r="76" spans="1:21" ht="13.5" hidden="1" x14ac:dyDescent="0.25">
      <c r="A76" s="196" t="s">
        <v>142</v>
      </c>
      <c r="B76" s="196"/>
      <c r="C76" s="196"/>
      <c r="D76" s="196" t="s">
        <v>284</v>
      </c>
      <c r="E76" s="196"/>
      <c r="F76" s="196"/>
      <c r="G76" s="196"/>
      <c r="H76" s="196"/>
      <c r="I76" s="196"/>
      <c r="J76" s="196"/>
      <c r="K76" s="196"/>
      <c r="L76" s="196"/>
      <c r="M76" s="196"/>
      <c r="N76" s="196"/>
      <c r="O76" s="196"/>
      <c r="P76" s="196"/>
      <c r="Q76" s="196"/>
      <c r="R76" s="196"/>
      <c r="S76" s="196"/>
      <c r="T76" s="196"/>
      <c r="U76" s="196"/>
    </row>
    <row r="77" spans="1:21" hidden="1" x14ac:dyDescent="0.2">
      <c r="A77" s="201">
        <v>0.375</v>
      </c>
      <c r="B77" s="197" cm="1">
        <f t="array" ref="B77">IFERROR((0.75*B$18*FLOOR(B$20,0.05)*0.9*B$35*B$38*o_Isol_Bij_Tijdstip($A77,B$8,B$11))+(0.75*D$18*FLOOR(D$20,0.05)*0.9*D$35*D$38*o_Isol_Bij_Tijdstip($A77,B$8,B$11)),0)</f>
        <v>0</v>
      </c>
      <c r="C77" s="196" t="s">
        <v>11</v>
      </c>
      <c r="D77" s="196">
        <v>24.7</v>
      </c>
      <c r="E77" s="196"/>
      <c r="F77" s="197" cm="1">
        <f t="array" ref="F77">IFERROR((0.75*F$18*FLOOR(F$20,0.05)*0.9*F$35*F$38*o_Isol_Bij_Tijdstip($A77,F$8,F$11))+(0.75*H$18*FLOOR(H$20,0.05)*0.9*H$35*H$38*o_Isol_Bij_Tijdstip($A77,F$8,F$11)),0)</f>
        <v>0</v>
      </c>
      <c r="G77" s="196" t="s">
        <v>11</v>
      </c>
      <c r="H77" s="196"/>
      <c r="I77" s="196"/>
      <c r="J77" s="197" cm="1">
        <f t="array" ref="J77">IFERROR((0.75*J$18*FLOOR(J$20,0.05)*0.9*J$35*J$38*o_Isol_Bij_Tijdstip($A77,J$8,J$11))+(0.75*L$18*FLOOR(L$20,0.05)*0.9*L$35*L$38*o_Isol_Bij_Tijdstip($A77,J$8,J$11)),0)</f>
        <v>0</v>
      </c>
      <c r="K77" s="196" t="s">
        <v>11</v>
      </c>
      <c r="L77" s="196"/>
      <c r="M77" s="196"/>
      <c r="N77" s="197" cm="1">
        <f t="array" ref="N77">IFERROR((0.75*N$18*FLOOR(N$20,0.05)*0.9*N$35*N$38*o_Isol_Bij_Tijdstip($A77,N$8,N$11))+(0.75*P$18*FLOOR(P$20,0.05)*0.9*P$35*P$38*o_Isol_Bij_Tijdstip($A77,N$8,N$11)),0)</f>
        <v>0</v>
      </c>
      <c r="O77" s="196" t="s">
        <v>11</v>
      </c>
      <c r="P77" s="196"/>
      <c r="Q77" s="196"/>
      <c r="R77" s="197" cm="1">
        <f t="array" ref="R77">IFERROR(IF(R$10="Nee",0,(0.75*R$18*FLOOR(R$20,0.05)*0.9*R$35*R$38*o_Isol_Bij_Tijdstip($A77,R$8,R$11))+(0.75*T$18*FLOOR(T$20,0.05)*0.9*T$35*T$38*o_Isol_Bij_Tijdstip($A77,R$8,R$11))),0)</f>
        <v>0</v>
      </c>
      <c r="S77" s="196" t="s">
        <v>11</v>
      </c>
      <c r="T77" s="197">
        <f t="shared" ref="T77:T86" si="0">B77+F77+J77+N77+R77</f>
        <v>0</v>
      </c>
      <c r="U77" s="196" t="s">
        <v>11</v>
      </c>
    </row>
    <row r="78" spans="1:21" hidden="1" x14ac:dyDescent="0.2">
      <c r="A78" s="201">
        <v>0.41666666666666669</v>
      </c>
      <c r="B78" s="197" cm="1">
        <f t="array" ref="B78">IFERROR((0.75*B$18*FLOOR(B$20,0.05)*0.9*B$35*B$38*o_Isol_Bij_Tijdstip($A78,B$8,B$11))+(0.75*D$18*FLOOR(D$20,0.05)*0.9*D$35*D$38*o_Isol_Bij_Tijdstip($A78,B$8,B$11)),0)</f>
        <v>0</v>
      </c>
      <c r="C78" s="196" t="s">
        <v>11</v>
      </c>
      <c r="D78" s="196">
        <v>26.9</v>
      </c>
      <c r="E78" s="196"/>
      <c r="F78" s="197" cm="1">
        <f t="array" ref="F78">IFERROR((0.75*F$18*FLOOR(F$20,0.05)*0.9*F$35*F$38*o_Isol_Bij_Tijdstip($A78,F$8,F$11))+(0.75*H$18*FLOOR(H$20,0.05)*0.9*H$35*H$38*o_Isol_Bij_Tijdstip($A78,F$8,F$11)),0)</f>
        <v>0</v>
      </c>
      <c r="G78" s="196" t="s">
        <v>11</v>
      </c>
      <c r="H78" s="196"/>
      <c r="I78" s="196"/>
      <c r="J78" s="197" cm="1">
        <f t="array" ref="J78">IFERROR((0.75*J$18*FLOOR(J$20,0.05)*0.9*J$35*J$38*o_Isol_Bij_Tijdstip($A78,J$8,J$11))+(0.75*L$18*FLOOR(L$20,0.05)*0.9*L$35*L$38*o_Isol_Bij_Tijdstip($A78,J$8,J$11)),0)</f>
        <v>0</v>
      </c>
      <c r="K78" s="196" t="s">
        <v>11</v>
      </c>
      <c r="L78" s="196"/>
      <c r="M78" s="196"/>
      <c r="N78" s="197" cm="1">
        <f t="array" ref="N78">IFERROR((0.75*N$18*FLOOR(N$20,0.05)*0.9*N$35*N$38*o_Isol_Bij_Tijdstip($A78,N$8,N$11))+(0.75*P$18*FLOOR(P$20,0.05)*0.9*P$35*P$38*o_Isol_Bij_Tijdstip($A78,N$8,N$11)),0)</f>
        <v>0</v>
      </c>
      <c r="O78" s="196" t="s">
        <v>11</v>
      </c>
      <c r="P78" s="196"/>
      <c r="Q78" s="196"/>
      <c r="R78" s="197" cm="1">
        <f t="array" ref="R78">IFERROR(IF(R$10="Nee",0,(0.75*R$18*FLOOR(R$20,0.05)*0.9*R$35*R$38*o_Isol_Bij_Tijdstip($A78,R$8,R$11))+(0.75*T$18*FLOOR(T$20,0.05)*0.9*T$35*T$38*o_Isol_Bij_Tijdstip($A78,R$8,R$11))),0)</f>
        <v>0</v>
      </c>
      <c r="S78" s="196" t="s">
        <v>11</v>
      </c>
      <c r="T78" s="197">
        <f t="shared" si="0"/>
        <v>0</v>
      </c>
      <c r="U78" s="196" t="s">
        <v>11</v>
      </c>
    </row>
    <row r="79" spans="1:21" hidden="1" x14ac:dyDescent="0.2">
      <c r="A79" s="201">
        <v>0.45833333333333331</v>
      </c>
      <c r="B79" s="197" cm="1">
        <f t="array" ref="B79">IFERROR((0.75*B$18*FLOOR(B$20,0.05)*0.9*B$35*B$38*o_Isol_Bij_Tijdstip($A79,B$8,B$11))+(0.75*D$18*FLOOR(D$20,0.05)*0.9*D$35*D$38*o_Isol_Bij_Tijdstip($A79,B$8,B$11)),0)</f>
        <v>0</v>
      </c>
      <c r="C79" s="196" t="s">
        <v>11</v>
      </c>
      <c r="D79" s="196">
        <v>28.2</v>
      </c>
      <c r="E79" s="196"/>
      <c r="F79" s="197" cm="1">
        <f t="array" ref="F79">IFERROR((0.75*F$18*FLOOR(F$20,0.05)*0.9*F$35*F$38*o_Isol_Bij_Tijdstip($A79,F$8,F$11))+(0.75*H$18*FLOOR(H$20,0.05)*0.9*H$35*H$38*o_Isol_Bij_Tijdstip($A79,F$8,F$11)),0)</f>
        <v>0</v>
      </c>
      <c r="G79" s="196" t="s">
        <v>11</v>
      </c>
      <c r="H79" s="196"/>
      <c r="I79" s="196"/>
      <c r="J79" s="197" cm="1">
        <f t="array" ref="J79">IFERROR((0.75*J$18*FLOOR(J$20,0.05)*0.9*J$35*J$38*o_Isol_Bij_Tijdstip($A79,J$8,J$11))+(0.75*L$18*FLOOR(L$20,0.05)*0.9*L$35*L$38*o_Isol_Bij_Tijdstip($A79,J$8,J$11)),0)</f>
        <v>0</v>
      </c>
      <c r="K79" s="196" t="s">
        <v>11</v>
      </c>
      <c r="L79" s="196"/>
      <c r="M79" s="196"/>
      <c r="N79" s="197" cm="1">
        <f t="array" ref="N79">IFERROR((0.75*N$18*FLOOR(N$20,0.05)*0.9*N$35*N$38*o_Isol_Bij_Tijdstip($A79,N$8,N$11))+(0.75*P$18*FLOOR(P$20,0.05)*0.9*P$35*P$38*o_Isol_Bij_Tijdstip($A79,N$8,N$11)),0)</f>
        <v>0</v>
      </c>
      <c r="O79" s="196" t="s">
        <v>11</v>
      </c>
      <c r="P79" s="196"/>
      <c r="Q79" s="196"/>
      <c r="R79" s="197" cm="1">
        <f t="array" ref="R79">IFERROR(IF(R$10="Nee",0,(0.75*R$18*FLOOR(R$20,0.05)*0.9*R$35*R$38*o_Isol_Bij_Tijdstip($A79,R$8,R$11))+(0.75*T$18*FLOOR(T$20,0.05)*0.9*T$35*T$38*o_Isol_Bij_Tijdstip($A79,R$8,R$11))),0)</f>
        <v>0</v>
      </c>
      <c r="S79" s="196" t="s">
        <v>11</v>
      </c>
      <c r="T79" s="197">
        <f t="shared" si="0"/>
        <v>0</v>
      </c>
      <c r="U79" s="196" t="s">
        <v>11</v>
      </c>
    </row>
    <row r="80" spans="1:21" hidden="1" x14ac:dyDescent="0.2">
      <c r="A80" s="201">
        <v>0.5</v>
      </c>
      <c r="B80" s="197" cm="1">
        <f t="array" ref="B80">IFERROR((0.75*B$18*FLOOR(B$20,0.05)*0.9*B$35*B$38*o_Isol_Bij_Tijdstip($A80,B$8,B$11))+(0.75*D$18*FLOOR(D$20,0.05)*0.9*D$35*D$38*o_Isol_Bij_Tijdstip($A80,B$8,B$11)),0)</f>
        <v>0</v>
      </c>
      <c r="C80" s="196" t="s">
        <v>11</v>
      </c>
      <c r="D80" s="196">
        <v>28.9</v>
      </c>
      <c r="E80" s="196"/>
      <c r="F80" s="197" cm="1">
        <f t="array" ref="F80">IFERROR((0.75*F$18*FLOOR(F$20,0.05)*0.9*F$35*F$38*o_Isol_Bij_Tijdstip($A80,F$8,F$11))+(0.75*H$18*FLOOR(H$20,0.05)*0.9*H$35*H$38*o_Isol_Bij_Tijdstip($A80,F$8,F$11)),0)</f>
        <v>0</v>
      </c>
      <c r="G80" s="196" t="s">
        <v>11</v>
      </c>
      <c r="H80" s="196"/>
      <c r="I80" s="196"/>
      <c r="J80" s="197" cm="1">
        <f t="array" ref="J80">IFERROR((0.75*J$18*FLOOR(J$20,0.05)*0.9*J$35*J$38*o_Isol_Bij_Tijdstip($A80,J$8,J$11))+(0.75*L$18*FLOOR(L$20,0.05)*0.9*L$35*L$38*o_Isol_Bij_Tijdstip($A80,J$8,J$11)),0)</f>
        <v>0</v>
      </c>
      <c r="K80" s="196" t="s">
        <v>11</v>
      </c>
      <c r="L80" s="196"/>
      <c r="M80" s="196"/>
      <c r="N80" s="197" cm="1">
        <f t="array" ref="N80">IFERROR((0.75*N$18*FLOOR(N$20,0.05)*0.9*N$35*N$38*o_Isol_Bij_Tijdstip($A80,N$8,N$11))+(0.75*P$18*FLOOR(P$20,0.05)*0.9*P$35*P$38*o_Isol_Bij_Tijdstip($A80,N$8,N$11)),0)</f>
        <v>0</v>
      </c>
      <c r="O80" s="196" t="s">
        <v>11</v>
      </c>
      <c r="P80" s="196"/>
      <c r="Q80" s="196"/>
      <c r="R80" s="197" cm="1">
        <f t="array" ref="R80">IFERROR(IF(R$10="Nee",0,(0.75*R$18*FLOOR(R$20,0.05)*0.9*R$35*R$38*o_Isol_Bij_Tijdstip($A80,R$8,R$11))+(0.75*T$18*FLOOR(T$20,0.05)*0.9*T$35*T$38*o_Isol_Bij_Tijdstip($A80,R$8,R$11))),0)</f>
        <v>0</v>
      </c>
      <c r="S80" s="196" t="s">
        <v>11</v>
      </c>
      <c r="T80" s="197">
        <f t="shared" si="0"/>
        <v>0</v>
      </c>
      <c r="U80" s="196" t="s">
        <v>11</v>
      </c>
    </row>
    <row r="81" spans="1:21" hidden="1" x14ac:dyDescent="0.2">
      <c r="A81" s="201">
        <v>0.54166666666666696</v>
      </c>
      <c r="B81" s="197" cm="1">
        <f t="array" ref="B81">IFERROR((0.75*B$18*FLOOR(B$20,0.05)*0.9*B$35*B$38*o_Isol_Bij_Tijdstip($A81,B$8,B$11))+(0.75*D$18*FLOOR(D$20,0.05)*0.9*D$35*D$38*o_Isol_Bij_Tijdstip($A81,B$8,B$11)),0)</f>
        <v>0</v>
      </c>
      <c r="C81" s="196" t="s">
        <v>11</v>
      </c>
      <c r="D81" s="196">
        <v>29.7</v>
      </c>
      <c r="E81" s="196"/>
      <c r="F81" s="197" cm="1">
        <f t="array" ref="F81">IFERROR((0.75*F$18*FLOOR(F$20,0.05)*0.9*F$35*F$38*o_Isol_Bij_Tijdstip($A81,F$8,F$11))+(0.75*H$18*FLOOR(H$20,0.05)*0.9*H$35*H$38*o_Isol_Bij_Tijdstip($A81,F$8,F$11)),0)</f>
        <v>0</v>
      </c>
      <c r="G81" s="196" t="s">
        <v>11</v>
      </c>
      <c r="H81" s="196"/>
      <c r="I81" s="196"/>
      <c r="J81" s="197" cm="1">
        <f t="array" ref="J81">IFERROR((0.75*J$18*FLOOR(J$20,0.05)*0.9*J$35*J$38*o_Isol_Bij_Tijdstip($A81,J$8,J$11))+(0.75*L$18*FLOOR(L$20,0.05)*0.9*L$35*L$38*o_Isol_Bij_Tijdstip($A81,J$8,J$11)),0)</f>
        <v>0</v>
      </c>
      <c r="K81" s="196" t="s">
        <v>11</v>
      </c>
      <c r="L81" s="196"/>
      <c r="M81" s="196"/>
      <c r="N81" s="197" cm="1">
        <f t="array" ref="N81">IFERROR((0.75*N$18*FLOOR(N$20,0.05)*0.9*N$35*N$38*o_Isol_Bij_Tijdstip($A81,N$8,N$11))+(0.75*P$18*FLOOR(P$20,0.05)*0.9*P$35*P$38*o_Isol_Bij_Tijdstip($A81,N$8,N$11)),0)</f>
        <v>0</v>
      </c>
      <c r="O81" s="196" t="s">
        <v>11</v>
      </c>
      <c r="P81" s="196"/>
      <c r="Q81" s="196"/>
      <c r="R81" s="197" cm="1">
        <f t="array" ref="R81">IFERROR(IF(R$10="Nee",0,(0.75*R$18*FLOOR(R$20,0.05)*0.9*R$35*R$38*o_Isol_Bij_Tijdstip($A81,R$8,R$11))+(0.75*T$18*FLOOR(T$20,0.05)*0.9*T$35*T$38*o_Isol_Bij_Tijdstip($A81,R$8,R$11))),0)</f>
        <v>0</v>
      </c>
      <c r="S81" s="196" t="s">
        <v>11</v>
      </c>
      <c r="T81" s="197">
        <f t="shared" si="0"/>
        <v>0</v>
      </c>
      <c r="U81" s="196" t="s">
        <v>11</v>
      </c>
    </row>
    <row r="82" spans="1:21" hidden="1" x14ac:dyDescent="0.2">
      <c r="A82" s="201">
        <v>0.58333333333333404</v>
      </c>
      <c r="B82" s="197" cm="1">
        <f t="array" ref="B82">IFERROR((0.75*B$18*FLOOR(B$20,0.05)*0.9*B$35*B$38*o_Isol_Bij_Tijdstip($A82,B$8,B$11))+(0.75*D$18*FLOOR(D$20,0.05)*0.9*D$35*D$38*o_Isol_Bij_Tijdstip($A82,B$8,B$11)),0)</f>
        <v>0</v>
      </c>
      <c r="C82" s="196" t="s">
        <v>11</v>
      </c>
      <c r="D82" s="196">
        <v>29.9</v>
      </c>
      <c r="E82" s="196"/>
      <c r="F82" s="197" cm="1">
        <f t="array" ref="F82">IFERROR((0.75*F$18*FLOOR(F$20,0.05)*0.9*F$35*F$38*o_Isol_Bij_Tijdstip($A82,F$8,F$11))+(0.75*H$18*FLOOR(H$20,0.05)*0.9*H$35*H$38*o_Isol_Bij_Tijdstip($A82,F$8,F$11)),0)</f>
        <v>0</v>
      </c>
      <c r="G82" s="196" t="s">
        <v>11</v>
      </c>
      <c r="H82" s="196"/>
      <c r="I82" s="196"/>
      <c r="J82" s="197" cm="1">
        <f t="array" ref="J82">IFERROR((0.75*J$18*FLOOR(J$20,0.05)*0.9*J$35*J$38*o_Isol_Bij_Tijdstip($A82,J$8,J$11))+(0.75*L$18*FLOOR(L$20,0.05)*0.9*L$35*L$38*o_Isol_Bij_Tijdstip($A82,J$8,J$11)),0)</f>
        <v>0</v>
      </c>
      <c r="K82" s="196" t="s">
        <v>11</v>
      </c>
      <c r="L82" s="196"/>
      <c r="M82" s="196"/>
      <c r="N82" s="197" cm="1">
        <f t="array" ref="N82">IFERROR((0.75*N$18*FLOOR(N$20,0.05)*0.9*N$35*N$38*o_Isol_Bij_Tijdstip($A82,N$8,N$11))+(0.75*P$18*FLOOR(P$20,0.05)*0.9*P$35*P$38*o_Isol_Bij_Tijdstip($A82,N$8,N$11)),0)</f>
        <v>0</v>
      </c>
      <c r="O82" s="196" t="s">
        <v>11</v>
      </c>
      <c r="P82" s="196"/>
      <c r="Q82" s="196"/>
      <c r="R82" s="197" cm="1">
        <f t="array" ref="R82">IFERROR(IF(R$10="Nee",0,(0.75*R$18*FLOOR(R$20,0.05)*0.9*R$35*R$38*o_Isol_Bij_Tijdstip($A82,R$8,R$11))+(0.75*T$18*FLOOR(T$20,0.05)*0.9*T$35*T$38*o_Isol_Bij_Tijdstip($A82,R$8,R$11))),0)</f>
        <v>0</v>
      </c>
      <c r="S82" s="196" t="s">
        <v>11</v>
      </c>
      <c r="T82" s="197">
        <f t="shared" si="0"/>
        <v>0</v>
      </c>
      <c r="U82" s="196" t="s">
        <v>11</v>
      </c>
    </row>
    <row r="83" spans="1:21" hidden="1" x14ac:dyDescent="0.2">
      <c r="A83" s="201">
        <v>0.625000000000001</v>
      </c>
      <c r="B83" s="197" cm="1">
        <f t="array" ref="B83">IFERROR((0.75*B$18*FLOOR(B$20,0.05)*0.9*B$35*B$38*o_Isol_Bij_Tijdstip($A83,B$8,B$11))+(0.75*D$18*FLOOR(D$20,0.05)*0.9*D$35*D$38*o_Isol_Bij_Tijdstip($A83,B$8,B$11)),0)</f>
        <v>0</v>
      </c>
      <c r="C83" s="196" t="s">
        <v>11</v>
      </c>
      <c r="D83" s="196">
        <v>29.8</v>
      </c>
      <c r="E83" s="196"/>
      <c r="F83" s="197" cm="1">
        <f t="array" ref="F83">IFERROR((0.75*F$18*FLOOR(F$20,0.05)*0.9*F$35*F$38*o_Isol_Bij_Tijdstip($A83,F$8,F$11))+(0.75*H$18*FLOOR(H$20,0.05)*0.9*H$35*H$38*o_Isol_Bij_Tijdstip($A83,F$8,F$11)),0)</f>
        <v>0</v>
      </c>
      <c r="G83" s="196" t="s">
        <v>11</v>
      </c>
      <c r="H83" s="196"/>
      <c r="I83" s="196"/>
      <c r="J83" s="197" cm="1">
        <f t="array" ref="J83">IFERROR((0.75*J$18*FLOOR(J$20,0.05)*0.9*J$35*J$38*o_Isol_Bij_Tijdstip($A83,J$8,J$11))+(0.75*L$18*FLOOR(L$20,0.05)*0.9*L$35*L$38*o_Isol_Bij_Tijdstip($A83,J$8,J$11)),0)</f>
        <v>0</v>
      </c>
      <c r="K83" s="196" t="s">
        <v>11</v>
      </c>
      <c r="L83" s="196"/>
      <c r="M83" s="196"/>
      <c r="N83" s="197" cm="1">
        <f t="array" ref="N83">IFERROR((0.75*N$18*FLOOR(N$20,0.05)*0.9*N$35*N$38*o_Isol_Bij_Tijdstip($A83,N$8,N$11))+(0.75*P$18*FLOOR(P$20,0.05)*0.9*P$35*P$38*o_Isol_Bij_Tijdstip($A83,N$8,N$11)),0)</f>
        <v>0</v>
      </c>
      <c r="O83" s="196" t="s">
        <v>11</v>
      </c>
      <c r="P83" s="196"/>
      <c r="Q83" s="196"/>
      <c r="R83" s="197" cm="1">
        <f t="array" ref="R83">IFERROR(IF(R$10="Nee",0,(0.75*R$18*FLOOR(R$20,0.05)*0.9*R$35*R$38*o_Isol_Bij_Tijdstip($A83,R$8,R$11))+(0.75*T$18*FLOOR(T$20,0.05)*0.9*T$35*T$38*o_Isol_Bij_Tijdstip($A83,R$8,R$11))),0)</f>
        <v>0</v>
      </c>
      <c r="S83" s="196" t="s">
        <v>11</v>
      </c>
      <c r="T83" s="197">
        <f t="shared" si="0"/>
        <v>0</v>
      </c>
      <c r="U83" s="196" t="s">
        <v>11</v>
      </c>
    </row>
    <row r="84" spans="1:21" hidden="1" x14ac:dyDescent="0.2">
      <c r="A84" s="201">
        <v>0.66666666666666796</v>
      </c>
      <c r="B84" s="197" cm="1">
        <f t="array" ref="B84">IFERROR((0.75*B$18*FLOOR(B$20,0.05)*0.9*B$35*B$38*o_Isol_Bij_Tijdstip($A84,B$8,B$11))+(0.75*D$18*FLOOR(D$20,0.05)*0.9*D$35*D$38*o_Isol_Bij_Tijdstip($A84,B$8,B$11)),0)</f>
        <v>0</v>
      </c>
      <c r="C84" s="196" t="s">
        <v>11</v>
      </c>
      <c r="D84" s="196">
        <v>30.4</v>
      </c>
      <c r="E84" s="196"/>
      <c r="F84" s="197" cm="1">
        <f t="array" ref="F84">IFERROR((0.75*F$18*FLOOR(F$20,0.05)*0.9*F$35*F$38*o_Isol_Bij_Tijdstip($A84,F$8,F$11))+(0.75*H$18*FLOOR(H$20,0.05)*0.9*H$35*H$38*o_Isol_Bij_Tijdstip($A84,F$8,F$11)),0)</f>
        <v>0</v>
      </c>
      <c r="G84" s="196" t="s">
        <v>11</v>
      </c>
      <c r="H84" s="196"/>
      <c r="I84" s="196"/>
      <c r="J84" s="197" cm="1">
        <f t="array" ref="J84">IFERROR((0.75*J$18*FLOOR(J$20,0.05)*0.9*J$35*J$38*o_Isol_Bij_Tijdstip($A84,J$8,J$11))+(0.75*L$18*FLOOR(L$20,0.05)*0.9*L$35*L$38*o_Isol_Bij_Tijdstip($A84,J$8,J$11)),0)</f>
        <v>0</v>
      </c>
      <c r="K84" s="196" t="s">
        <v>11</v>
      </c>
      <c r="L84" s="196"/>
      <c r="M84" s="196"/>
      <c r="N84" s="197" cm="1">
        <f t="array" ref="N84">IFERROR((0.75*N$18*FLOOR(N$20,0.05)*0.9*N$35*N$38*o_Isol_Bij_Tijdstip($A84,N$8,N$11))+(0.75*P$18*FLOOR(P$20,0.05)*0.9*P$35*P$38*o_Isol_Bij_Tijdstip($A84,N$8,N$11)),0)</f>
        <v>0</v>
      </c>
      <c r="O84" s="196" t="s">
        <v>11</v>
      </c>
      <c r="P84" s="196"/>
      <c r="Q84" s="196"/>
      <c r="R84" s="197" cm="1">
        <f t="array" ref="R84">IFERROR(IF(R$10="Nee",0,(0.75*R$18*FLOOR(R$20,0.05)*0.9*R$35*R$38*o_Isol_Bij_Tijdstip($A84,R$8,R$11))+(0.75*T$18*FLOOR(T$20,0.05)*0.9*T$35*T$38*o_Isol_Bij_Tijdstip($A84,R$8,R$11))),0)</f>
        <v>0</v>
      </c>
      <c r="S84" s="196" t="s">
        <v>11</v>
      </c>
      <c r="T84" s="197">
        <f t="shared" si="0"/>
        <v>0</v>
      </c>
      <c r="U84" s="196" t="s">
        <v>11</v>
      </c>
    </row>
    <row r="85" spans="1:21" hidden="1" x14ac:dyDescent="0.2">
      <c r="A85" s="201">
        <v>0.70833333333333504</v>
      </c>
      <c r="B85" s="197" cm="1">
        <f t="array" ref="B85">IFERROR((0.75*B$18*FLOOR(B$20,0.05)*0.9*B$35*B$38*o_Isol_Bij_Tijdstip($A85,B$8,B$11))+(0.75*D$18*FLOOR(D$20,0.05)*0.9*D$35*D$38*o_Isol_Bij_Tijdstip($A85,B$8,B$11)),0)</f>
        <v>0</v>
      </c>
      <c r="C85" s="196" t="s">
        <v>11</v>
      </c>
      <c r="D85" s="196">
        <v>30.6</v>
      </c>
      <c r="E85" s="196"/>
      <c r="F85" s="197" cm="1">
        <f t="array" ref="F85">IFERROR((0.75*F$18*FLOOR(F$20,0.05)*0.9*F$35*F$38*o_Isol_Bij_Tijdstip($A85,F$8,F$11))+(0.75*H$18*FLOOR(H$20,0.05)*0.9*H$35*H$38*o_Isol_Bij_Tijdstip($A85,F$8,F$11)),0)</f>
        <v>0</v>
      </c>
      <c r="G85" s="196" t="s">
        <v>11</v>
      </c>
      <c r="H85" s="196"/>
      <c r="I85" s="196"/>
      <c r="J85" s="197" cm="1">
        <f t="array" ref="J85">IFERROR((0.75*J$18*FLOOR(J$20,0.05)*0.9*J$35*J$38*o_Isol_Bij_Tijdstip($A85,J$8,J$11))+(0.75*L$18*FLOOR(L$20,0.05)*0.9*L$35*L$38*o_Isol_Bij_Tijdstip($A85,J$8,J$11)),0)</f>
        <v>0</v>
      </c>
      <c r="K85" s="196" t="s">
        <v>11</v>
      </c>
      <c r="L85" s="196"/>
      <c r="M85" s="196"/>
      <c r="N85" s="197" cm="1">
        <f t="array" ref="N85">IFERROR((0.75*N$18*FLOOR(N$20,0.05)*0.9*N$35*N$38*o_Isol_Bij_Tijdstip($A85,N$8,N$11))+(0.75*P$18*FLOOR(P$20,0.05)*0.9*P$35*P$38*o_Isol_Bij_Tijdstip($A85,N$8,N$11)),0)</f>
        <v>0</v>
      </c>
      <c r="O85" s="196" t="s">
        <v>11</v>
      </c>
      <c r="P85" s="196"/>
      <c r="Q85" s="196"/>
      <c r="R85" s="197" cm="1">
        <f t="array" ref="R85">IFERROR(IF(R$10="Nee",0,(0.75*R$18*FLOOR(R$20,0.05)*0.9*R$35*R$38*o_Isol_Bij_Tijdstip($A85,R$8,R$11))+(0.75*T$18*FLOOR(T$20,0.05)*0.9*T$35*T$38*o_Isol_Bij_Tijdstip($A85,R$8,R$11))),0)</f>
        <v>0</v>
      </c>
      <c r="S85" s="196" t="s">
        <v>11</v>
      </c>
      <c r="T85" s="197">
        <f t="shared" si="0"/>
        <v>0</v>
      </c>
      <c r="U85" s="196" t="s">
        <v>11</v>
      </c>
    </row>
    <row r="86" spans="1:21" hidden="1" x14ac:dyDescent="0.2">
      <c r="A86" s="201">
        <v>0.750000000000002</v>
      </c>
      <c r="B86" s="197" cm="1">
        <f t="array" ref="B86">IFERROR((0.75*B$18*FLOOR(B$20,0.05)*0.9*B$35*B$38*o_Isol_Bij_Tijdstip($A86,B$8,B$11))+(0.75*D$18*FLOOR(D$20,0.05)*0.9*D$35*D$38*o_Isol_Bij_Tijdstip($A86,B$8,B$11)),0)</f>
        <v>0</v>
      </c>
      <c r="C86" s="196" t="s">
        <v>11</v>
      </c>
      <c r="D86" s="196">
        <v>30.1</v>
      </c>
      <c r="E86" s="196"/>
      <c r="F86" s="197" cm="1">
        <f t="array" ref="F86">IFERROR((0.75*F$18*FLOOR(F$20,0.05)*0.9*F$35*F$38*o_Isol_Bij_Tijdstip($A86,F$8,F$11))+(0.75*H$18*FLOOR(H$20,0.05)*0.9*H$35*H$38*o_Isol_Bij_Tijdstip($A86,F$8,F$11)),0)</f>
        <v>0</v>
      </c>
      <c r="G86" s="196" t="s">
        <v>11</v>
      </c>
      <c r="H86" s="196"/>
      <c r="I86" s="196"/>
      <c r="J86" s="197" cm="1">
        <f t="array" ref="J86">IFERROR((0.75*J$18*FLOOR(J$20,0.05)*0.9*J$35*J$38*o_Isol_Bij_Tijdstip($A86,J$8,J$11))+(0.75*L$18*FLOOR(L$20,0.05)*0.9*L$35*L$38*o_Isol_Bij_Tijdstip($A86,J$8,J$11)),0)</f>
        <v>0</v>
      </c>
      <c r="K86" s="196" t="s">
        <v>11</v>
      </c>
      <c r="L86" s="196"/>
      <c r="M86" s="196"/>
      <c r="N86" s="197" cm="1">
        <f t="array" ref="N86">IFERROR((0.75*N$18*FLOOR(N$20,0.05)*0.9*N$35*N$38*o_Isol_Bij_Tijdstip($A86,N$8,N$11))+(0.75*P$18*FLOOR(P$20,0.05)*0.9*P$35*P$38*o_Isol_Bij_Tijdstip($A86,N$8,N$11)),0)</f>
        <v>0</v>
      </c>
      <c r="O86" s="196" t="s">
        <v>11</v>
      </c>
      <c r="P86" s="196"/>
      <c r="Q86" s="196"/>
      <c r="R86" s="197" cm="1">
        <f t="array" ref="R86">IFERROR(IF(R$10="Nee",0,(0.75*R$18*FLOOR(R$20,0.05)*0.9*R$35*R$38*o_Isol_Bij_Tijdstip($A86,R$8,R$11))+(0.75*T$18*FLOOR(T$20,0.05)*0.9*T$35*T$38*o_Isol_Bij_Tijdstip($A86,R$8,R$11))),0)</f>
        <v>0</v>
      </c>
      <c r="S86" s="196" t="s">
        <v>11</v>
      </c>
      <c r="T86" s="197">
        <f t="shared" si="0"/>
        <v>0</v>
      </c>
      <c r="U86" s="196" t="s">
        <v>11</v>
      </c>
    </row>
    <row r="87" spans="1:21" hidden="1" x14ac:dyDescent="0.2">
      <c r="A87" s="201"/>
      <c r="B87" s="196"/>
      <c r="C87" s="196"/>
      <c r="D87" s="196"/>
      <c r="E87" s="196"/>
      <c r="F87" s="196"/>
      <c r="G87" s="196"/>
      <c r="H87" s="196"/>
      <c r="I87" s="196"/>
      <c r="J87" s="196"/>
      <c r="K87" s="196"/>
      <c r="L87" s="196"/>
      <c r="M87" s="196"/>
      <c r="N87" s="196"/>
      <c r="O87" s="196"/>
      <c r="P87" s="196"/>
      <c r="Q87" s="196"/>
      <c r="R87" s="196"/>
      <c r="S87" s="196"/>
      <c r="T87" s="196"/>
      <c r="U87" s="196"/>
    </row>
    <row r="88" spans="1:21" hidden="1" x14ac:dyDescent="0.2">
      <c r="A88" s="196" t="s">
        <v>151</v>
      </c>
      <c r="B88" s="200" t="str">
        <f>IF(MAX(T77:T86)=0,"Geen glas aanwezig",_xlfn.XLOOKUP(MAX(T77:T86),T77:T86,A77:A86,"nvt"))</f>
        <v>Geen glas aanwezig</v>
      </c>
      <c r="C88" s="196"/>
      <c r="D88" s="196"/>
      <c r="E88" s="196"/>
      <c r="F88" s="196"/>
      <c r="G88" s="196"/>
      <c r="H88" s="196"/>
      <c r="I88" s="196"/>
      <c r="J88" s="196"/>
      <c r="K88" s="196"/>
      <c r="L88" s="196"/>
      <c r="M88" s="196"/>
      <c r="N88" s="196"/>
      <c r="O88" s="196"/>
      <c r="P88" s="196"/>
      <c r="Q88" s="196"/>
      <c r="R88" s="196"/>
      <c r="S88" s="196"/>
      <c r="T88" s="196"/>
      <c r="U88" s="196"/>
    </row>
    <row r="89" spans="1:21" hidden="1" x14ac:dyDescent="0.2"/>
    <row r="90" spans="1:21" hidden="1" x14ac:dyDescent="0.2"/>
    <row r="91" spans="1:21" hidden="1" x14ac:dyDescent="0.2"/>
    <row r="92" spans="1:21" hidden="1" x14ac:dyDescent="0.2"/>
    <row r="93" spans="1:21" hidden="1" x14ac:dyDescent="0.2"/>
    <row r="94" spans="1:21" hidden="1" x14ac:dyDescent="0.2"/>
    <row r="95" spans="1:21" hidden="1" x14ac:dyDescent="0.2"/>
  </sheetData>
  <sheetProtection algorithmName="SHA-512" hashValue="S0seagVGGI1V8fR0nczPKWzZFbiVfjgFbnmIUsq/XKl+kl1wMGoU6yJA9IIhvS7M4SxnK1x3xXaiXZP3EfJy2A==" saltValue="mI0F7xkIf+W8rBQNHQyqyg==" spinCount="100000" sheet="1" objects="1" scenarios="1" selectLockedCells="1"/>
  <mergeCells count="41">
    <mergeCell ref="B60:D60"/>
    <mergeCell ref="B61:D61"/>
    <mergeCell ref="B63:D63"/>
    <mergeCell ref="B64:D64"/>
    <mergeCell ref="B57:D57"/>
    <mergeCell ref="F57:H57"/>
    <mergeCell ref="J57:L57"/>
    <mergeCell ref="N57:P57"/>
    <mergeCell ref="R57:T57"/>
    <mergeCell ref="B58:D58"/>
    <mergeCell ref="F58:H58"/>
    <mergeCell ref="J58:L58"/>
    <mergeCell ref="N58:P58"/>
    <mergeCell ref="R58:T58"/>
    <mergeCell ref="R41:T41"/>
    <mergeCell ref="B56:D56"/>
    <mergeCell ref="F56:H56"/>
    <mergeCell ref="J56:L56"/>
    <mergeCell ref="N56:P56"/>
    <mergeCell ref="R56:T56"/>
    <mergeCell ref="B55:D55"/>
    <mergeCell ref="F55:H55"/>
    <mergeCell ref="J55:L55"/>
    <mergeCell ref="N55:P55"/>
    <mergeCell ref="R55:T55"/>
    <mergeCell ref="A71:U72"/>
    <mergeCell ref="A1:U1"/>
    <mergeCell ref="B7:D7"/>
    <mergeCell ref="F7:H7"/>
    <mergeCell ref="J7:L7"/>
    <mergeCell ref="N7:P7"/>
    <mergeCell ref="R7:U7"/>
    <mergeCell ref="B42:D42"/>
    <mergeCell ref="F42:H42"/>
    <mergeCell ref="J42:L42"/>
    <mergeCell ref="N42:P42"/>
    <mergeCell ref="R42:T42"/>
    <mergeCell ref="B41:D41"/>
    <mergeCell ref="F41:H41"/>
    <mergeCell ref="J41:L41"/>
    <mergeCell ref="N41:P41"/>
  </mergeCells>
  <conditionalFormatting sqref="B77:B86">
    <cfRule type="colorScale" priority="6">
      <colorScale>
        <cfvo type="min"/>
        <cfvo type="percentile" val="50"/>
        <cfvo type="max"/>
        <color rgb="FF61D6FF"/>
        <color rgb="FFFFD85D"/>
        <color rgb="FFFF6D6D"/>
      </colorScale>
    </cfRule>
  </conditionalFormatting>
  <conditionalFormatting sqref="T77:T86">
    <cfRule type="colorScale" priority="5">
      <colorScale>
        <cfvo type="min"/>
        <cfvo type="percentile" val="50"/>
        <cfvo type="max"/>
        <color rgb="FF61D6FF"/>
        <color rgb="FFFFD85D"/>
        <color rgb="FFFF6D6D"/>
      </colorScale>
    </cfRule>
  </conditionalFormatting>
  <conditionalFormatting sqref="F77:F86">
    <cfRule type="colorScale" priority="4">
      <colorScale>
        <cfvo type="min"/>
        <cfvo type="percentile" val="50"/>
        <cfvo type="max"/>
        <color rgb="FF61D6FF"/>
        <color rgb="FFFFD85D"/>
        <color rgb="FFFF6D6D"/>
      </colorScale>
    </cfRule>
  </conditionalFormatting>
  <conditionalFormatting sqref="J77:J86">
    <cfRule type="colorScale" priority="3">
      <colorScale>
        <cfvo type="min"/>
        <cfvo type="percentile" val="50"/>
        <cfvo type="max"/>
        <color rgb="FF61D6FF"/>
        <color rgb="FFFFD85D"/>
        <color rgb="FFFF6D6D"/>
      </colorScale>
    </cfRule>
  </conditionalFormatting>
  <conditionalFormatting sqref="N77:N86">
    <cfRule type="colorScale" priority="2">
      <colorScale>
        <cfvo type="min"/>
        <cfvo type="percentile" val="50"/>
        <cfvo type="max"/>
        <color rgb="FF61D6FF"/>
        <color rgb="FFFFD85D"/>
        <color rgb="FFFF6D6D"/>
      </colorScale>
    </cfRule>
  </conditionalFormatting>
  <conditionalFormatting sqref="R77:R86">
    <cfRule type="colorScale" priority="1">
      <colorScale>
        <cfvo type="min"/>
        <cfvo type="percentile" val="50"/>
        <cfvo type="max"/>
        <color rgb="FF61D6FF"/>
        <color rgb="FFFFD85D"/>
        <color rgb="FFFF6D6D"/>
      </colorScale>
    </cfRule>
  </conditionalFormatting>
  <dataValidations count="5">
    <dataValidation type="list" allowBlank="1" showInputMessage="1" showErrorMessage="1" sqref="B4" xr:uid="{9DB4DC96-755D-4806-AC5E-CD4FFAA6F657}">
      <formula1>"Woonvertrek, Andere verblijfsruimte"</formula1>
    </dataValidation>
    <dataValidation type="list" allowBlank="1" showInputMessage="1" showErrorMessage="1" sqref="P30 L30 D30 N30 H30 F30 J30 B30" xr:uid="{4ADA6B1A-82E2-4D85-867D-8154E27291CB}">
      <formula1>"Links,Rechts,Beide zijden"</formula1>
    </dataValidation>
    <dataValidation type="whole" allowBlank="1" showErrorMessage="1" error="Een platdak heeft een helling van maximaal 15°, voor daken in bij gevels op de juiste orientatie" sqref="R11" xr:uid="{ECF2095D-BCEC-4798-8DF5-E9AE715D545E}">
      <formula1>0</formula1>
      <formula2>15</formula2>
    </dataValidation>
    <dataValidation type="whole" allowBlank="1" showErrorMessage="1" error="Een helling &lt; 15° is en platdak voer deze bij kolom R in. _x000a_90° is de maximale invoerwaarde" sqref="H11 D11 L10:L11 B11 F11 J11 K8:M9 O8:Q10 T11 N11 K10 M10 P11:P12 Q11:Q16 P15:P16" xr:uid="{1ED4E368-ED00-4B47-8160-F375074E8701}">
      <formula1>15</formula1>
      <formula2>90</formula2>
    </dataValidation>
    <dataValidation type="list" allowBlank="1" showInputMessage="1" showErrorMessage="1" sqref="F10 R10 J10 N10 B10" xr:uid="{92977FB4-E6FE-4E96-9076-A84B914EA0C2}">
      <formula1>"Nee,Ja"</formula1>
    </dataValidation>
  </dataValidations>
  <pageMargins left="0.23622047244094491" right="0.23622047244094491" top="0.74803149606299213" bottom="0.74803149606299213" header="0.31496062992125984" footer="0.31496062992125984"/>
  <pageSetup paperSize="9" scale="48" orientation="landscape" r:id="rId1"/>
  <headerFooter alignWithMargins="0">
    <oddHeader>&amp;CREKENTOOL VEREENVOUDIGDE BEPALINGSMETHODE KOELBEHOEFTE (BIJLAGE AA - VERSIE 2025 -NTA 8800)&amp;Rversie 2025.04 d.d. 09-04-2025</oddHeader>
    <oddFooter>&amp;LPrint datum:&amp;D &amp;T_x000D_&amp;1#&amp;"Calibri"&amp;10&amp;K000000 Intern gebruik&amp;C&amp;F&amp;R&amp;P van &amp;N</oddFooter>
  </headerFooter>
  <drawing r:id="rId2"/>
  <legacyDrawing r:id="rId3"/>
  <controls>
    <mc:AlternateContent xmlns:mc="http://schemas.openxmlformats.org/markup-compatibility/2006">
      <mc:Choice Requires="x14">
        <control shapeId="19471" r:id="rId4" name="CommandButton1">
          <controlPr defaultSize="0" autoLine="0" r:id="rId5">
            <anchor moveWithCells="1">
              <from>
                <xdr:col>3</xdr:col>
                <xdr:colOff>209550</xdr:colOff>
                <xdr:row>1</xdr:row>
                <xdr:rowOff>133350</xdr:rowOff>
              </from>
              <to>
                <xdr:col>5</xdr:col>
                <xdr:colOff>38100</xdr:colOff>
                <xdr:row>4</xdr:row>
                <xdr:rowOff>9525</xdr:rowOff>
              </to>
            </anchor>
          </controlPr>
        </control>
      </mc:Choice>
      <mc:Fallback>
        <control shapeId="19471" r:id="rId4" name="CommandButton1"/>
      </mc:Fallback>
    </mc:AlternateContent>
  </controls>
  <extLst>
    <ext xmlns:x14="http://schemas.microsoft.com/office/spreadsheetml/2009/9/main" uri="{CCE6A557-97BC-4b89-ADB6-D9C93CAAB3DF}">
      <x14:dataValidations xmlns:xm="http://schemas.microsoft.com/office/excel/2006/main" count="5">
        <x14:dataValidation type="list" allowBlank="1" showInputMessage="1" showErrorMessage="1" xr:uid="{823259CE-5BAE-4A1F-AB71-5C2E342C28AB}">
          <x14:formula1>
            <xm:f>Tabellen!$A$42:$A$49</xm:f>
          </x14:formula1>
          <xm:sqref>F8 J8 N8</xm:sqref>
        </x14:dataValidation>
        <x14:dataValidation type="list" allowBlank="1" showInputMessage="1" showErrorMessage="1" xr:uid="{2FB3BABB-2C5C-4F1C-AFFB-10EBDF894EE2}">
          <x14:formula1>
            <xm:f>Tabellen!$A$103:$A$108</xm:f>
          </x14:formula1>
          <xm:sqref>L21 H21 B21 D21 N21 F21 P21 J21</xm:sqref>
        </x14:dataValidation>
        <x14:dataValidation type="list" allowBlank="1" showInputMessage="1" showErrorMessage="1" xr:uid="{6053B632-2E3F-4372-BDDC-7D5414B66C06}">
          <x14:formula1>
            <xm:f>Tabellen!$A$111:$A$113</xm:f>
          </x14:formula1>
          <xm:sqref>R21 T21</xm:sqref>
        </x14:dataValidation>
        <x14:dataValidation type="list" allowBlank="1" showInputMessage="1" showErrorMessage="1" xr:uid="{9E720767-F6BC-45FF-82BA-6B888841C72C}">
          <x14:formula1>
            <xm:f>Tabellen!$A$85:$A$99</xm:f>
          </x14:formula1>
          <xm:sqref>P37 N37 D37 B37 H37 L37 F37 J37</xm:sqref>
        </x14:dataValidation>
        <x14:dataValidation type="list" allowBlank="1" showInputMessage="1" showErrorMessage="1" xr:uid="{57D4525A-E9D5-4207-8176-46DBFAC29439}">
          <x14:formula1>
            <xm:f>Tabellen!$A$85:$A$97</xm:f>
          </x14:formula1>
          <xm:sqref>R37 T37</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2A56C-E2C6-4C1D-ACDC-7FC2679C3C95}">
  <sheetPr codeName="Blad20">
    <pageSetUpPr fitToPage="1"/>
  </sheetPr>
  <dimension ref="A1:U95"/>
  <sheetViews>
    <sheetView showGridLines="0" zoomScale="90" zoomScaleNormal="90" workbookViewId="0">
      <selection activeCell="B3" sqref="B3"/>
    </sheetView>
  </sheetViews>
  <sheetFormatPr defaultColWidth="9.140625" defaultRowHeight="12" x14ac:dyDescent="0.2"/>
  <cols>
    <col min="1" max="1" width="49.7109375" style="202" bestFit="1" customWidth="1"/>
    <col min="2" max="2" width="18.28515625" style="202" customWidth="1"/>
    <col min="3" max="3" width="6.28515625" style="202" bestFit="1" customWidth="1"/>
    <col min="4" max="4" width="18.28515625" style="202" customWidth="1"/>
    <col min="5" max="5" width="6.28515625" style="202" bestFit="1" customWidth="1"/>
    <col min="6" max="6" width="18.28515625" style="202" customWidth="1"/>
    <col min="7" max="7" width="6.28515625" style="202" bestFit="1" customWidth="1"/>
    <col min="8" max="8" width="18.28515625" style="202" customWidth="1"/>
    <col min="9" max="9" width="6.28515625" style="202" bestFit="1" customWidth="1"/>
    <col min="10" max="10" width="18.28515625" style="202" customWidth="1"/>
    <col min="11" max="11" width="6.28515625" style="202" bestFit="1" customWidth="1"/>
    <col min="12" max="12" width="18.28515625" style="202" customWidth="1"/>
    <col min="13" max="13" width="6.28515625" style="202" bestFit="1" customWidth="1"/>
    <col min="14" max="14" width="18.28515625" style="202" customWidth="1"/>
    <col min="15" max="15" width="6.28515625" style="202" bestFit="1" customWidth="1"/>
    <col min="16" max="16" width="18.28515625" style="202" customWidth="1"/>
    <col min="17" max="17" width="6.28515625" style="202" bestFit="1" customWidth="1"/>
    <col min="18" max="18" width="18.28515625" style="202" customWidth="1"/>
    <col min="19" max="19" width="6.28515625" style="202" bestFit="1" customWidth="1"/>
    <col min="20" max="20" width="18.28515625" style="194" customWidth="1"/>
    <col min="21" max="21" width="6.7109375" style="194" bestFit="1" customWidth="1"/>
    <col min="22" max="16384" width="9.140625" style="194"/>
  </cols>
  <sheetData>
    <row r="1" spans="1:21" s="192" customFormat="1" ht="24" customHeight="1" x14ac:dyDescent="0.2">
      <c r="A1" s="251" t="s">
        <v>211</v>
      </c>
      <c r="B1" s="251"/>
      <c r="C1" s="251"/>
      <c r="D1" s="251"/>
      <c r="E1" s="251"/>
      <c r="F1" s="251"/>
      <c r="G1" s="251"/>
      <c r="H1" s="251"/>
      <c r="I1" s="251"/>
      <c r="J1" s="251"/>
      <c r="K1" s="251"/>
      <c r="L1" s="251"/>
      <c r="M1" s="251"/>
      <c r="N1" s="251"/>
      <c r="O1" s="251"/>
      <c r="P1" s="251"/>
      <c r="Q1" s="251"/>
      <c r="R1" s="251"/>
      <c r="S1" s="251"/>
      <c r="T1" s="251"/>
      <c r="U1" s="251"/>
    </row>
    <row r="2" spans="1:21" s="193" customFormat="1" ht="12" customHeight="1" x14ac:dyDescent="0.2">
      <c r="A2" s="65"/>
      <c r="B2" s="75"/>
      <c r="C2" s="75"/>
      <c r="D2" s="75"/>
      <c r="E2" s="75"/>
      <c r="F2" s="75"/>
      <c r="G2" s="75"/>
      <c r="H2" s="75"/>
      <c r="I2" s="75"/>
      <c r="J2" s="75"/>
      <c r="K2" s="75"/>
      <c r="L2" s="75"/>
      <c r="M2" s="75"/>
      <c r="N2" s="75"/>
      <c r="O2" s="75"/>
      <c r="P2" s="75"/>
      <c r="Q2" s="75"/>
      <c r="R2" s="35"/>
      <c r="S2" s="35"/>
      <c r="T2" s="35"/>
      <c r="U2" s="35"/>
    </row>
    <row r="3" spans="1:21" ht="12" customHeight="1" x14ac:dyDescent="0.2">
      <c r="A3" s="36" t="s">
        <v>107</v>
      </c>
      <c r="B3" s="221"/>
      <c r="C3" s="75"/>
      <c r="D3" s="75"/>
      <c r="E3" s="75"/>
      <c r="F3" s="35"/>
      <c r="G3" s="75"/>
      <c r="H3" s="75"/>
      <c r="I3" s="75"/>
      <c r="J3" s="75"/>
      <c r="K3" s="75"/>
      <c r="L3" s="75"/>
      <c r="M3" s="75"/>
      <c r="N3" s="75"/>
      <c r="O3" s="75"/>
      <c r="P3" s="75"/>
      <c r="Q3" s="75"/>
      <c r="R3" s="35"/>
      <c r="S3" s="35"/>
      <c r="T3" s="35"/>
      <c r="U3" s="35"/>
    </row>
    <row r="4" spans="1:21" ht="12" customHeight="1" x14ac:dyDescent="0.2">
      <c r="A4" s="36" t="s">
        <v>191</v>
      </c>
      <c r="B4" s="33" t="s">
        <v>195</v>
      </c>
      <c r="C4" s="75"/>
      <c r="D4" s="75"/>
      <c r="E4" s="75"/>
      <c r="F4" s="35"/>
      <c r="G4" s="75"/>
      <c r="H4" s="75"/>
      <c r="I4" s="75"/>
      <c r="J4" s="75"/>
      <c r="K4" s="75"/>
      <c r="L4" s="75"/>
      <c r="M4" s="75"/>
      <c r="N4" s="75"/>
      <c r="O4" s="75"/>
      <c r="P4" s="75"/>
      <c r="Q4" s="75"/>
      <c r="R4" s="35"/>
      <c r="S4" s="35"/>
      <c r="T4" s="35"/>
      <c r="U4" s="35"/>
    </row>
    <row r="5" spans="1:21" ht="12" customHeight="1" x14ac:dyDescent="0.25">
      <c r="A5" s="39" t="s">
        <v>180</v>
      </c>
      <c r="B5" s="34">
        <v>0</v>
      </c>
      <c r="C5" s="36" t="s">
        <v>0</v>
      </c>
      <c r="D5" s="75"/>
      <c r="E5" s="75"/>
      <c r="F5" s="35"/>
      <c r="G5" s="75"/>
      <c r="H5" s="75"/>
      <c r="I5" s="75"/>
      <c r="J5" s="75"/>
      <c r="K5" s="75"/>
      <c r="L5" s="75"/>
      <c r="M5" s="75"/>
      <c r="N5" s="75"/>
      <c r="O5" s="75"/>
      <c r="P5" s="75"/>
      <c r="Q5" s="75"/>
      <c r="R5" s="35"/>
      <c r="S5" s="35"/>
      <c r="T5" s="35"/>
      <c r="U5" s="35"/>
    </row>
    <row r="6" spans="1:21" s="195" customFormat="1" ht="12" customHeight="1" x14ac:dyDescent="0.2">
      <c r="A6" s="75"/>
      <c r="B6" s="75"/>
      <c r="C6" s="75"/>
      <c r="D6" s="75"/>
      <c r="E6" s="75"/>
      <c r="F6" s="75"/>
      <c r="G6" s="75"/>
      <c r="H6" s="75"/>
      <c r="I6" s="75"/>
      <c r="J6" s="75"/>
      <c r="K6" s="75"/>
      <c r="L6" s="75"/>
      <c r="M6" s="75"/>
      <c r="N6" s="75"/>
      <c r="O6" s="75"/>
      <c r="P6" s="75"/>
      <c r="Q6" s="75"/>
      <c r="R6" s="75"/>
      <c r="S6" s="35"/>
      <c r="T6" s="35"/>
      <c r="U6" s="35"/>
    </row>
    <row r="7" spans="1:21" s="193" customFormat="1" ht="12" customHeight="1" x14ac:dyDescent="0.2">
      <c r="A7" s="65"/>
      <c r="B7" s="237" t="s">
        <v>181</v>
      </c>
      <c r="C7" s="237"/>
      <c r="D7" s="237"/>
      <c r="E7" s="76"/>
      <c r="F7" s="238" t="s">
        <v>182</v>
      </c>
      <c r="G7" s="237"/>
      <c r="H7" s="237"/>
      <c r="I7" s="76"/>
      <c r="J7" s="237" t="s">
        <v>183</v>
      </c>
      <c r="K7" s="237"/>
      <c r="L7" s="237"/>
      <c r="M7" s="76"/>
      <c r="N7" s="237" t="s">
        <v>184</v>
      </c>
      <c r="O7" s="237"/>
      <c r="P7" s="237"/>
      <c r="Q7" s="76"/>
      <c r="R7" s="238" t="s">
        <v>5</v>
      </c>
      <c r="S7" s="238"/>
      <c r="T7" s="238"/>
      <c r="U7" s="238"/>
    </row>
    <row r="8" spans="1:21" s="195" customFormat="1" ht="12" customHeight="1" x14ac:dyDescent="0.2">
      <c r="A8" s="72" t="s">
        <v>129</v>
      </c>
      <c r="B8" s="77">
        <f>'Projectgegevens en Resultaten'!$B$17</f>
        <v>0</v>
      </c>
      <c r="C8" s="183"/>
      <c r="D8" s="183"/>
      <c r="E8" s="183"/>
      <c r="F8" s="184" t="str">
        <f>o_Orientatie(F9)</f>
        <v>Oost</v>
      </c>
      <c r="G8" s="183"/>
      <c r="H8" s="183"/>
      <c r="I8" s="183"/>
      <c r="J8" s="184" t="str">
        <f>o_Orientatie(J9)</f>
        <v>Zuid</v>
      </c>
      <c r="K8" s="185"/>
      <c r="L8" s="185"/>
      <c r="M8" s="185"/>
      <c r="N8" s="184" t="str">
        <f>o_Orientatie(N9)</f>
        <v>West</v>
      </c>
      <c r="O8" s="185"/>
      <c r="P8" s="185"/>
      <c r="Q8" s="185"/>
      <c r="R8" s="186" t="s">
        <v>62</v>
      </c>
      <c r="S8" s="79"/>
      <c r="T8" s="78"/>
      <c r="U8" s="78"/>
    </row>
    <row r="9" spans="1:21" ht="12" hidden="1" customHeight="1" x14ac:dyDescent="0.2">
      <c r="A9" s="70" t="s">
        <v>132</v>
      </c>
      <c r="B9" s="80" cm="1">
        <f t="array" ref="B9">o_OrientatiehOEK(B8)</f>
        <v>0</v>
      </c>
      <c r="C9" s="187"/>
      <c r="D9" s="187"/>
      <c r="E9" s="187"/>
      <c r="F9" s="80">
        <f>IF(B9+90&gt;360,B9+90-360,B9+90)</f>
        <v>90</v>
      </c>
      <c r="G9" s="188"/>
      <c r="H9" s="188"/>
      <c r="I9" s="188"/>
      <c r="J9" s="80">
        <f>IF(F9+90&gt;360,F9+90-360,F9+90)</f>
        <v>180</v>
      </c>
      <c r="K9" s="185"/>
      <c r="L9" s="185"/>
      <c r="M9" s="185"/>
      <c r="N9" s="80">
        <f>IF(J9+90&gt;360,J9+90-360,J9+90)</f>
        <v>270</v>
      </c>
      <c r="O9" s="185"/>
      <c r="P9" s="185"/>
      <c r="Q9" s="185"/>
      <c r="R9" s="188"/>
      <c r="S9" s="79"/>
      <c r="T9" s="104"/>
      <c r="U9" s="104"/>
    </row>
    <row r="10" spans="1:21" s="195" customFormat="1" x14ac:dyDescent="0.2">
      <c r="A10" s="70" t="s">
        <v>102</v>
      </c>
      <c r="B10" s="44" t="s">
        <v>101</v>
      </c>
      <c r="C10" s="187"/>
      <c r="D10" s="187"/>
      <c r="E10" s="187"/>
      <c r="F10" s="44" t="s">
        <v>101</v>
      </c>
      <c r="G10" s="187"/>
      <c r="H10" s="187"/>
      <c r="I10" s="187"/>
      <c r="J10" s="44" t="s">
        <v>101</v>
      </c>
      <c r="K10" s="189"/>
      <c r="L10" s="189"/>
      <c r="M10" s="189"/>
      <c r="N10" s="44" t="s">
        <v>101</v>
      </c>
      <c r="O10" s="189"/>
      <c r="P10" s="189"/>
      <c r="Q10" s="189"/>
      <c r="R10" s="44" t="s">
        <v>101</v>
      </c>
      <c r="S10" s="82"/>
      <c r="T10" s="81"/>
      <c r="U10" s="81"/>
    </row>
    <row r="11" spans="1:21" s="195" customFormat="1" ht="12" customHeight="1" x14ac:dyDescent="0.2">
      <c r="A11" s="70" t="s">
        <v>133</v>
      </c>
      <c r="B11" s="210">
        <v>90</v>
      </c>
      <c r="C11" s="214" t="s">
        <v>103</v>
      </c>
      <c r="D11" s="210"/>
      <c r="E11" s="219"/>
      <c r="F11" s="210">
        <v>90</v>
      </c>
      <c r="G11" s="214" t="s">
        <v>103</v>
      </c>
      <c r="H11" s="210"/>
      <c r="I11" s="214"/>
      <c r="J11" s="210">
        <v>90</v>
      </c>
      <c r="K11" s="214" t="s">
        <v>103</v>
      </c>
      <c r="L11" s="210"/>
      <c r="M11" s="214"/>
      <c r="N11" s="210">
        <v>90</v>
      </c>
      <c r="O11" s="214" t="s">
        <v>103</v>
      </c>
      <c r="P11" s="210"/>
      <c r="Q11" s="210"/>
      <c r="R11" s="211">
        <v>0</v>
      </c>
      <c r="S11" s="214" t="s">
        <v>103</v>
      </c>
      <c r="T11" s="210"/>
      <c r="U11" s="214"/>
    </row>
    <row r="12" spans="1:21" s="195" customFormat="1" ht="12" customHeight="1" x14ac:dyDescent="0.2">
      <c r="A12" s="70" t="s">
        <v>130</v>
      </c>
      <c r="B12" s="211" t="str" cm="1">
        <f t="array" ref="B12">o_TypeConstructie(B10,B11)</f>
        <v>Woningscheidend</v>
      </c>
      <c r="C12" s="211"/>
      <c r="D12" s="211"/>
      <c r="E12" s="209"/>
      <c r="F12" s="211" t="str" cm="1">
        <f t="array" ref="F12">o_TypeConstructie(F10,F11)</f>
        <v>Woningscheidend</v>
      </c>
      <c r="G12" s="209"/>
      <c r="H12" s="211"/>
      <c r="I12" s="209"/>
      <c r="J12" s="211" t="str" cm="1">
        <f t="array" ref="J12">o_TypeConstructie(J10,J11)</f>
        <v>Woningscheidend</v>
      </c>
      <c r="K12" s="209"/>
      <c r="L12" s="211"/>
      <c r="M12" s="209"/>
      <c r="N12" s="211" t="str" cm="1">
        <f t="array" ref="N12">o_TypeConstructie(N10,N11)</f>
        <v>Woningscheidend</v>
      </c>
      <c r="O12" s="209"/>
      <c r="P12" s="211"/>
      <c r="Q12" s="211"/>
      <c r="R12" s="211" t="str" cm="1">
        <f t="array" ref="R12">o_TypeConstructie(R10,R11)</f>
        <v>Woningscheidend</v>
      </c>
      <c r="S12" s="207"/>
      <c r="T12" s="210"/>
      <c r="U12" s="214"/>
    </row>
    <row r="13" spans="1:21" s="195" customFormat="1" ht="12" customHeight="1" x14ac:dyDescent="0.2">
      <c r="A13" s="70" t="s">
        <v>127</v>
      </c>
      <c r="B13" s="207"/>
      <c r="C13" s="207" t="s">
        <v>1</v>
      </c>
      <c r="D13" s="207"/>
      <c r="E13" s="208"/>
      <c r="F13" s="207"/>
      <c r="G13" s="207" t="s">
        <v>1</v>
      </c>
      <c r="H13" s="207"/>
      <c r="I13" s="208"/>
      <c r="J13" s="207"/>
      <c r="K13" s="207" t="s">
        <v>1</v>
      </c>
      <c r="L13" s="207"/>
      <c r="M13" s="208"/>
      <c r="N13" s="207"/>
      <c r="O13" s="207" t="s">
        <v>1</v>
      </c>
      <c r="P13" s="207"/>
      <c r="Q13" s="208"/>
      <c r="R13" s="207"/>
      <c r="S13" s="207" t="s">
        <v>1</v>
      </c>
      <c r="T13" s="208"/>
      <c r="U13" s="208"/>
    </row>
    <row r="14" spans="1:21" s="195" customFormat="1" ht="12" customHeight="1" x14ac:dyDescent="0.2">
      <c r="A14" s="83" t="s">
        <v>128</v>
      </c>
      <c r="B14" s="207"/>
      <c r="C14" s="207" t="s">
        <v>1</v>
      </c>
      <c r="D14" s="207"/>
      <c r="E14" s="208"/>
      <c r="F14" s="207"/>
      <c r="G14" s="207" t="s">
        <v>1</v>
      </c>
      <c r="H14" s="207"/>
      <c r="I14" s="208"/>
      <c r="J14" s="207"/>
      <c r="K14" s="207" t="s">
        <v>1</v>
      </c>
      <c r="L14" s="207"/>
      <c r="M14" s="208"/>
      <c r="N14" s="207"/>
      <c r="O14" s="207" t="s">
        <v>1</v>
      </c>
      <c r="P14" s="207"/>
      <c r="Q14" s="208"/>
      <c r="R14" s="207"/>
      <c r="S14" s="207" t="s">
        <v>1</v>
      </c>
      <c r="T14" s="208"/>
      <c r="U14" s="208"/>
    </row>
    <row r="15" spans="1:21" s="195" customFormat="1" ht="12" customHeight="1" x14ac:dyDescent="0.2">
      <c r="A15" s="36" t="s">
        <v>104</v>
      </c>
      <c r="B15" s="208">
        <f>B13*B14</f>
        <v>0</v>
      </c>
      <c r="C15" s="208" t="s">
        <v>0</v>
      </c>
      <c r="D15" s="208"/>
      <c r="E15" s="208"/>
      <c r="F15" s="208">
        <f>F13*F14</f>
        <v>0</v>
      </c>
      <c r="G15" s="208" t="s">
        <v>0</v>
      </c>
      <c r="H15" s="208"/>
      <c r="I15" s="208"/>
      <c r="J15" s="208">
        <f>J13*J14</f>
        <v>0</v>
      </c>
      <c r="K15" s="208" t="s">
        <v>0</v>
      </c>
      <c r="L15" s="208"/>
      <c r="M15" s="208"/>
      <c r="N15" s="208">
        <f>N13*N14</f>
        <v>0</v>
      </c>
      <c r="O15" s="208" t="s">
        <v>0</v>
      </c>
      <c r="P15" s="208"/>
      <c r="Q15" s="208"/>
      <c r="R15" s="208">
        <f>R13*R14</f>
        <v>0</v>
      </c>
      <c r="S15" s="207" t="s">
        <v>0</v>
      </c>
      <c r="T15" s="208"/>
      <c r="U15" s="208"/>
    </row>
    <row r="16" spans="1:21" s="195" customFormat="1" ht="12" customHeight="1" x14ac:dyDescent="0.2">
      <c r="A16" s="36" t="s">
        <v>105</v>
      </c>
      <c r="B16" s="208">
        <f>MAX(0,B15-B18-D18)</f>
        <v>0</v>
      </c>
      <c r="C16" s="208" t="s">
        <v>0</v>
      </c>
      <c r="D16" s="208"/>
      <c r="E16" s="208"/>
      <c r="F16" s="208">
        <f>MAX(0,F15-F18-H18)</f>
        <v>0</v>
      </c>
      <c r="G16" s="208" t="s">
        <v>0</v>
      </c>
      <c r="H16" s="208"/>
      <c r="I16" s="208"/>
      <c r="J16" s="208">
        <f>MAX(0,J15-J18-L18)</f>
        <v>0</v>
      </c>
      <c r="K16" s="208" t="s">
        <v>0</v>
      </c>
      <c r="L16" s="208"/>
      <c r="M16" s="208"/>
      <c r="N16" s="208">
        <f>MAX(0,N15-N18-P18)</f>
        <v>0</v>
      </c>
      <c r="O16" s="208" t="s">
        <v>0</v>
      </c>
      <c r="P16" s="210"/>
      <c r="Q16" s="210"/>
      <c r="R16" s="208">
        <f>MAX(0,R15-R18-T18)</f>
        <v>0</v>
      </c>
      <c r="S16" s="207" t="s">
        <v>0</v>
      </c>
      <c r="T16" s="208"/>
      <c r="U16" s="208"/>
    </row>
    <row r="17" spans="1:21" s="195" customFormat="1" ht="12" customHeight="1" x14ac:dyDescent="0.2">
      <c r="A17" s="75"/>
      <c r="B17" s="215" t="s">
        <v>123</v>
      </c>
      <c r="C17" s="84"/>
      <c r="D17" s="215" t="s">
        <v>124</v>
      </c>
      <c r="E17" s="84"/>
      <c r="F17" s="215" t="s">
        <v>123</v>
      </c>
      <c r="G17" s="84"/>
      <c r="H17" s="215" t="s">
        <v>124</v>
      </c>
      <c r="I17" s="84"/>
      <c r="J17" s="215" t="s">
        <v>123</v>
      </c>
      <c r="K17" s="84"/>
      <c r="L17" s="215" t="s">
        <v>124</v>
      </c>
      <c r="M17" s="84"/>
      <c r="N17" s="215" t="s">
        <v>123</v>
      </c>
      <c r="O17" s="84"/>
      <c r="P17" s="215" t="s">
        <v>124</v>
      </c>
      <c r="Q17" s="84"/>
      <c r="R17" s="215" t="s">
        <v>123</v>
      </c>
      <c r="S17" s="84"/>
      <c r="T17" s="215" t="s">
        <v>124</v>
      </c>
      <c r="U17" s="84"/>
    </row>
    <row r="18" spans="1:21" s="195" customFormat="1" ht="12" customHeight="1" x14ac:dyDescent="0.25">
      <c r="A18" s="36" t="s">
        <v>218</v>
      </c>
      <c r="B18" s="209"/>
      <c r="C18" s="208" t="s">
        <v>0</v>
      </c>
      <c r="D18" s="210"/>
      <c r="E18" s="208" t="s">
        <v>0</v>
      </c>
      <c r="F18" s="210"/>
      <c r="G18" s="208" t="s">
        <v>0</v>
      </c>
      <c r="H18" s="210"/>
      <c r="I18" s="208" t="s">
        <v>0</v>
      </c>
      <c r="J18" s="210"/>
      <c r="K18" s="208" t="s">
        <v>0</v>
      </c>
      <c r="L18" s="210"/>
      <c r="M18" s="208" t="s">
        <v>0</v>
      </c>
      <c r="N18" s="210"/>
      <c r="O18" s="208" t="s">
        <v>0</v>
      </c>
      <c r="P18" s="210"/>
      <c r="Q18" s="208" t="s">
        <v>0</v>
      </c>
      <c r="R18" s="210"/>
      <c r="S18" s="208" t="s">
        <v>0</v>
      </c>
      <c r="T18" s="210"/>
      <c r="U18" s="208" t="s">
        <v>0</v>
      </c>
    </row>
    <row r="19" spans="1:21" s="195" customFormat="1" ht="12" customHeight="1" x14ac:dyDescent="0.25">
      <c r="A19" s="36" t="s">
        <v>134</v>
      </c>
      <c r="B19" s="209"/>
      <c r="C19" s="208" t="s">
        <v>98</v>
      </c>
      <c r="D19" s="210"/>
      <c r="E19" s="208" t="s">
        <v>98</v>
      </c>
      <c r="F19" s="210"/>
      <c r="G19" s="208" t="s">
        <v>98</v>
      </c>
      <c r="H19" s="210"/>
      <c r="I19" s="208" t="s">
        <v>98</v>
      </c>
      <c r="J19" s="210"/>
      <c r="K19" s="208" t="s">
        <v>98</v>
      </c>
      <c r="L19" s="210"/>
      <c r="M19" s="208" t="s">
        <v>98</v>
      </c>
      <c r="N19" s="210"/>
      <c r="O19" s="208" t="s">
        <v>98</v>
      </c>
      <c r="P19" s="210"/>
      <c r="Q19" s="208" t="s">
        <v>98</v>
      </c>
      <c r="R19" s="210"/>
      <c r="S19" s="208" t="s">
        <v>98</v>
      </c>
      <c r="T19" s="210"/>
      <c r="U19" s="208" t="s">
        <v>98</v>
      </c>
    </row>
    <row r="20" spans="1:21" s="195" customFormat="1" ht="12" customHeight="1" x14ac:dyDescent="0.2">
      <c r="A20" s="66" t="s">
        <v>221</v>
      </c>
      <c r="B20" s="209">
        <v>1</v>
      </c>
      <c r="C20" s="208"/>
      <c r="D20" s="210">
        <v>1</v>
      </c>
      <c r="E20" s="208"/>
      <c r="F20" s="210">
        <v>1</v>
      </c>
      <c r="G20" s="208"/>
      <c r="H20" s="210">
        <v>1</v>
      </c>
      <c r="I20" s="208"/>
      <c r="J20" s="210">
        <v>1</v>
      </c>
      <c r="K20" s="208"/>
      <c r="L20" s="210">
        <v>1</v>
      </c>
      <c r="M20" s="208"/>
      <c r="N20" s="210">
        <v>1</v>
      </c>
      <c r="O20" s="207"/>
      <c r="P20" s="210">
        <v>1</v>
      </c>
      <c r="Q20" s="208"/>
      <c r="R20" s="210">
        <v>1</v>
      </c>
      <c r="S20" s="207"/>
      <c r="T20" s="210">
        <v>1</v>
      </c>
      <c r="U20" s="208"/>
    </row>
    <row r="21" spans="1:21" s="195" customFormat="1" ht="12" customHeight="1" x14ac:dyDescent="0.2">
      <c r="A21" s="67" t="s">
        <v>219</v>
      </c>
      <c r="B21" s="220" t="s">
        <v>111</v>
      </c>
      <c r="C21" s="212"/>
      <c r="D21" s="220" t="s">
        <v>111</v>
      </c>
      <c r="E21" s="212"/>
      <c r="F21" s="220" t="s">
        <v>111</v>
      </c>
      <c r="G21" s="212"/>
      <c r="H21" s="220" t="s">
        <v>111</v>
      </c>
      <c r="I21" s="212"/>
      <c r="J21" s="220" t="s">
        <v>111</v>
      </c>
      <c r="K21" s="212"/>
      <c r="L21" s="220" t="s">
        <v>111</v>
      </c>
      <c r="M21" s="212"/>
      <c r="N21" s="220" t="s">
        <v>111</v>
      </c>
      <c r="O21" s="213"/>
      <c r="P21" s="220" t="s">
        <v>111</v>
      </c>
      <c r="Q21" s="212"/>
      <c r="R21" s="220" t="s">
        <v>111</v>
      </c>
      <c r="S21" s="213"/>
      <c r="T21" s="220" t="s">
        <v>111</v>
      </c>
      <c r="U21" s="208"/>
    </row>
    <row r="22" spans="1:21" s="195" customFormat="1" ht="68.25" customHeight="1" x14ac:dyDescent="0.2">
      <c r="A22" s="85"/>
      <c r="B22" s="208"/>
      <c r="C22" s="208"/>
      <c r="D22" s="208"/>
      <c r="E22" s="208"/>
      <c r="F22" s="208"/>
      <c r="G22" s="208"/>
      <c r="H22" s="208"/>
      <c r="I22" s="208"/>
      <c r="J22" s="208"/>
      <c r="K22" s="208"/>
      <c r="L22" s="208"/>
      <c r="M22" s="208"/>
      <c r="N22" s="208"/>
      <c r="O22" s="208"/>
      <c r="P22" s="208"/>
      <c r="Q22" s="208"/>
      <c r="R22" s="208"/>
      <c r="S22" s="207"/>
      <c r="T22" s="208"/>
      <c r="U22" s="208"/>
    </row>
    <row r="23" spans="1:21" s="195" customFormat="1" x14ac:dyDescent="0.2">
      <c r="A23" s="85"/>
      <c r="B23" s="215" t="s">
        <v>166</v>
      </c>
      <c r="C23" s="208"/>
      <c r="D23" s="215" t="s">
        <v>166</v>
      </c>
      <c r="E23" s="208"/>
      <c r="F23" s="215" t="s">
        <v>166</v>
      </c>
      <c r="G23" s="208"/>
      <c r="H23" s="215" t="s">
        <v>166</v>
      </c>
      <c r="I23" s="208"/>
      <c r="J23" s="215" t="s">
        <v>166</v>
      </c>
      <c r="K23" s="208"/>
      <c r="L23" s="215" t="s">
        <v>166</v>
      </c>
      <c r="M23" s="208"/>
      <c r="N23" s="215" t="s">
        <v>166</v>
      </c>
      <c r="O23" s="208"/>
      <c r="P23" s="215" t="s">
        <v>166</v>
      </c>
      <c r="Q23" s="208"/>
      <c r="R23" s="215"/>
      <c r="S23" s="208"/>
      <c r="T23" s="215"/>
      <c r="U23" s="208"/>
    </row>
    <row r="24" spans="1:21" s="195" customFormat="1" ht="12" customHeight="1" x14ac:dyDescent="0.2">
      <c r="A24" s="86" t="s">
        <v>120</v>
      </c>
      <c r="B24" s="216">
        <v>0</v>
      </c>
      <c r="C24" s="87" t="s">
        <v>1</v>
      </c>
      <c r="D24" s="216">
        <v>0</v>
      </c>
      <c r="E24" s="87" t="s">
        <v>1</v>
      </c>
      <c r="F24" s="216">
        <v>0</v>
      </c>
      <c r="G24" s="87" t="s">
        <v>1</v>
      </c>
      <c r="H24" s="216">
        <v>0</v>
      </c>
      <c r="I24" s="87" t="s">
        <v>1</v>
      </c>
      <c r="J24" s="216">
        <v>0</v>
      </c>
      <c r="K24" s="87" t="s">
        <v>1</v>
      </c>
      <c r="L24" s="216">
        <v>0</v>
      </c>
      <c r="M24" s="87" t="s">
        <v>1</v>
      </c>
      <c r="N24" s="216">
        <v>0</v>
      </c>
      <c r="O24" s="87" t="s">
        <v>1</v>
      </c>
      <c r="P24" s="216">
        <v>0</v>
      </c>
      <c r="Q24" s="87" t="s">
        <v>1</v>
      </c>
      <c r="R24" s="216">
        <v>0</v>
      </c>
      <c r="S24" s="87"/>
      <c r="T24" s="216">
        <v>0</v>
      </c>
      <c r="U24" s="87" t="s">
        <v>1</v>
      </c>
    </row>
    <row r="25" spans="1:21" s="195" customFormat="1" ht="12" customHeight="1" x14ac:dyDescent="0.2">
      <c r="A25" s="88" t="s">
        <v>121</v>
      </c>
      <c r="B25" s="216">
        <v>0</v>
      </c>
      <c r="C25" s="87" t="s">
        <v>1</v>
      </c>
      <c r="D25" s="216">
        <v>0</v>
      </c>
      <c r="E25" s="87" t="s">
        <v>1</v>
      </c>
      <c r="F25" s="216">
        <v>0</v>
      </c>
      <c r="G25" s="87" t="s">
        <v>1</v>
      </c>
      <c r="H25" s="216">
        <v>0</v>
      </c>
      <c r="I25" s="87" t="s">
        <v>1</v>
      </c>
      <c r="J25" s="216">
        <v>0</v>
      </c>
      <c r="K25" s="87" t="s">
        <v>1</v>
      </c>
      <c r="L25" s="216">
        <v>0</v>
      </c>
      <c r="M25" s="87" t="s">
        <v>1</v>
      </c>
      <c r="N25" s="216">
        <v>0</v>
      </c>
      <c r="O25" s="87" t="s">
        <v>1</v>
      </c>
      <c r="P25" s="216">
        <v>0</v>
      </c>
      <c r="Q25" s="87" t="s">
        <v>1</v>
      </c>
      <c r="R25" s="216">
        <v>0</v>
      </c>
      <c r="S25" s="87"/>
      <c r="T25" s="216">
        <v>0</v>
      </c>
      <c r="U25" s="87" t="s">
        <v>1</v>
      </c>
    </row>
    <row r="26" spans="1:21" s="195" customFormat="1" ht="12" customHeight="1" x14ac:dyDescent="0.2">
      <c r="A26" s="89" t="s">
        <v>163</v>
      </c>
      <c r="B26" s="217">
        <f>IFERROR(180/PI()*ATAN(B24/B25),0)</f>
        <v>0</v>
      </c>
      <c r="C26" s="90" t="s">
        <v>103</v>
      </c>
      <c r="D26" s="217">
        <f>IFERROR(180/PI()*ATAN(D24/D25),0)</f>
        <v>0</v>
      </c>
      <c r="E26" s="90" t="s">
        <v>103</v>
      </c>
      <c r="F26" s="217">
        <f>IFERROR(180/PI()*ATAN(F24/F25),0)</f>
        <v>0</v>
      </c>
      <c r="G26" s="90" t="s">
        <v>103</v>
      </c>
      <c r="H26" s="217">
        <f>IFERROR(180/PI()*ATAN(H24/H25),0)</f>
        <v>0</v>
      </c>
      <c r="I26" s="90" t="s">
        <v>103</v>
      </c>
      <c r="J26" s="217">
        <f>IFERROR(180/PI()*ATAN(J24/J25),0)</f>
        <v>0</v>
      </c>
      <c r="K26" s="90" t="s">
        <v>103</v>
      </c>
      <c r="L26" s="217">
        <f>IFERROR(180/PI()*ATAN(L24/L25),0)</f>
        <v>0</v>
      </c>
      <c r="M26" s="90" t="s">
        <v>103</v>
      </c>
      <c r="N26" s="217">
        <f>IFERROR(180/PI()*ATAN(N24/N25),0)</f>
        <v>0</v>
      </c>
      <c r="O26" s="90" t="s">
        <v>103</v>
      </c>
      <c r="P26" s="217">
        <f>IFERROR(180/PI()*ATAN(P24/P25),0)</f>
        <v>0</v>
      </c>
      <c r="Q26" s="90" t="s">
        <v>103</v>
      </c>
      <c r="R26" s="217"/>
      <c r="S26" s="90"/>
      <c r="T26" s="217"/>
      <c r="U26" s="90" t="s">
        <v>103</v>
      </c>
    </row>
    <row r="27" spans="1:21" s="195" customFormat="1" ht="12" customHeight="1" x14ac:dyDescent="0.2">
      <c r="A27" s="89" t="s">
        <v>119</v>
      </c>
      <c r="B27" s="216">
        <f>IFERROR(B24/B25,1)</f>
        <v>1</v>
      </c>
      <c r="C27" s="87"/>
      <c r="D27" s="216">
        <f>IFERROR(D24/D25,1)</f>
        <v>1</v>
      </c>
      <c r="E27" s="87"/>
      <c r="F27" s="216">
        <f>IFERROR(F24/F25,1)</f>
        <v>1</v>
      </c>
      <c r="G27" s="87"/>
      <c r="H27" s="216">
        <f>IFERROR(H24/H25,1)</f>
        <v>1</v>
      </c>
      <c r="I27" s="87"/>
      <c r="J27" s="216">
        <f>IFERROR(J24/J25,1)</f>
        <v>1</v>
      </c>
      <c r="K27" s="87"/>
      <c r="L27" s="216">
        <f>IFERROR(L24/L25,1)</f>
        <v>1</v>
      </c>
      <c r="M27" s="87"/>
      <c r="N27" s="216">
        <f>IFERROR(N24/N25,1)</f>
        <v>1</v>
      </c>
      <c r="O27" s="87"/>
      <c r="P27" s="216">
        <f>IFERROR(P24/P25,1)</f>
        <v>1</v>
      </c>
      <c r="Q27" s="87"/>
      <c r="R27" s="216"/>
      <c r="S27" s="87"/>
      <c r="T27" s="216"/>
      <c r="U27" s="87"/>
    </row>
    <row r="28" spans="1:21" s="195" customFormat="1" ht="101.25" customHeight="1" x14ac:dyDescent="0.2">
      <c r="A28" s="91"/>
      <c r="B28" s="208"/>
      <c r="C28" s="208"/>
      <c r="D28" s="208"/>
      <c r="E28" s="208"/>
      <c r="F28" s="208"/>
      <c r="G28" s="208"/>
      <c r="H28" s="208"/>
      <c r="I28" s="208"/>
      <c r="J28" s="208"/>
      <c r="K28" s="208"/>
      <c r="L28" s="208"/>
      <c r="M28" s="208"/>
      <c r="N28" s="208"/>
      <c r="O28" s="208"/>
      <c r="P28" s="208"/>
      <c r="Q28" s="208"/>
      <c r="R28" s="215"/>
      <c r="S28" s="215"/>
      <c r="T28" s="215"/>
      <c r="U28" s="208"/>
    </row>
    <row r="29" spans="1:21" s="195" customFormat="1" x14ac:dyDescent="0.2">
      <c r="A29" s="91"/>
      <c r="B29" s="215" t="s">
        <v>113</v>
      </c>
      <c r="C29" s="208"/>
      <c r="D29" s="215" t="s">
        <v>113</v>
      </c>
      <c r="E29" s="208"/>
      <c r="F29" s="215" t="s">
        <v>113</v>
      </c>
      <c r="G29" s="208"/>
      <c r="H29" s="215" t="s">
        <v>113</v>
      </c>
      <c r="I29" s="208"/>
      <c r="J29" s="215" t="s">
        <v>113</v>
      </c>
      <c r="K29" s="208"/>
      <c r="L29" s="215" t="s">
        <v>113</v>
      </c>
      <c r="M29" s="208"/>
      <c r="N29" s="215" t="s">
        <v>113</v>
      </c>
      <c r="O29" s="208"/>
      <c r="P29" s="215" t="s">
        <v>113</v>
      </c>
      <c r="Q29" s="208"/>
      <c r="R29" s="215"/>
      <c r="S29" s="215"/>
      <c r="T29" s="215"/>
      <c r="U29" s="208"/>
    </row>
    <row r="30" spans="1:21" s="195" customFormat="1" ht="12" customHeight="1" x14ac:dyDescent="0.2">
      <c r="A30" s="89" t="s">
        <v>158</v>
      </c>
      <c r="B30" s="216" t="s">
        <v>252</v>
      </c>
      <c r="C30" s="87"/>
      <c r="D30" s="216" t="s">
        <v>252</v>
      </c>
      <c r="E30" s="87"/>
      <c r="F30" s="216" t="s">
        <v>252</v>
      </c>
      <c r="G30" s="87"/>
      <c r="H30" s="216" t="s">
        <v>252</v>
      </c>
      <c r="I30" s="87"/>
      <c r="J30" s="216" t="s">
        <v>252</v>
      </c>
      <c r="K30" s="87"/>
      <c r="L30" s="216" t="s">
        <v>252</v>
      </c>
      <c r="M30" s="87"/>
      <c r="N30" s="216" t="s">
        <v>252</v>
      </c>
      <c r="O30" s="87"/>
      <c r="P30" s="216" t="s">
        <v>252</v>
      </c>
      <c r="Q30" s="87"/>
      <c r="R30" s="215" t="s">
        <v>252</v>
      </c>
      <c r="S30" s="215"/>
      <c r="T30" s="215" t="s">
        <v>252</v>
      </c>
      <c r="U30" s="87"/>
    </row>
    <row r="31" spans="1:21" s="195" customFormat="1" ht="12" customHeight="1" x14ac:dyDescent="0.2">
      <c r="A31" s="89" t="s">
        <v>155</v>
      </c>
      <c r="B31" s="216">
        <v>0</v>
      </c>
      <c r="C31" s="87" t="s">
        <v>1</v>
      </c>
      <c r="D31" s="216">
        <v>0</v>
      </c>
      <c r="E31" s="87" t="s">
        <v>1</v>
      </c>
      <c r="F31" s="216">
        <v>0</v>
      </c>
      <c r="G31" s="87" t="s">
        <v>1</v>
      </c>
      <c r="H31" s="216">
        <v>0</v>
      </c>
      <c r="I31" s="87" t="s">
        <v>1</v>
      </c>
      <c r="J31" s="216">
        <v>0</v>
      </c>
      <c r="K31" s="87" t="s">
        <v>1</v>
      </c>
      <c r="L31" s="216">
        <v>0</v>
      </c>
      <c r="M31" s="87" t="s">
        <v>1</v>
      </c>
      <c r="N31" s="216">
        <v>0</v>
      </c>
      <c r="O31" s="87" t="s">
        <v>1</v>
      </c>
      <c r="P31" s="216">
        <v>0</v>
      </c>
      <c r="Q31" s="87" t="s">
        <v>1</v>
      </c>
      <c r="R31" s="215">
        <v>0</v>
      </c>
      <c r="S31" s="215"/>
      <c r="T31" s="215">
        <v>0</v>
      </c>
      <c r="U31" s="87" t="s">
        <v>1</v>
      </c>
    </row>
    <row r="32" spans="1:21" s="195" customFormat="1" ht="12" customHeight="1" x14ac:dyDescent="0.2">
      <c r="A32" s="89" t="s">
        <v>156</v>
      </c>
      <c r="B32" s="216">
        <v>0</v>
      </c>
      <c r="C32" s="90" t="s">
        <v>1</v>
      </c>
      <c r="D32" s="216">
        <v>0</v>
      </c>
      <c r="E32" s="90" t="s">
        <v>1</v>
      </c>
      <c r="F32" s="216">
        <v>0</v>
      </c>
      <c r="G32" s="90" t="s">
        <v>1</v>
      </c>
      <c r="H32" s="216">
        <v>0</v>
      </c>
      <c r="I32" s="90" t="s">
        <v>1</v>
      </c>
      <c r="J32" s="216">
        <v>0</v>
      </c>
      <c r="K32" s="90" t="s">
        <v>1</v>
      </c>
      <c r="L32" s="216">
        <v>0</v>
      </c>
      <c r="M32" s="90" t="s">
        <v>1</v>
      </c>
      <c r="N32" s="216">
        <v>0</v>
      </c>
      <c r="O32" s="90" t="s">
        <v>1</v>
      </c>
      <c r="P32" s="216">
        <v>0</v>
      </c>
      <c r="Q32" s="90" t="s">
        <v>1</v>
      </c>
      <c r="R32" s="215">
        <v>0</v>
      </c>
      <c r="S32" s="215"/>
      <c r="T32" s="215">
        <v>0</v>
      </c>
      <c r="U32" s="87" t="s">
        <v>1</v>
      </c>
    </row>
    <row r="33" spans="1:21" s="195" customFormat="1" ht="12" customHeight="1" x14ac:dyDescent="0.25">
      <c r="A33" s="89" t="s">
        <v>157</v>
      </c>
      <c r="B33" s="216">
        <f>IFERROR(B31/B32,999)</f>
        <v>999</v>
      </c>
      <c r="C33" s="87"/>
      <c r="D33" s="216">
        <f>IFERROR(D31/D32,999)</f>
        <v>999</v>
      </c>
      <c r="E33" s="87"/>
      <c r="F33" s="216">
        <f>IFERROR(F31/F32,999)</f>
        <v>999</v>
      </c>
      <c r="G33" s="87"/>
      <c r="H33" s="216">
        <f>IFERROR(H31/H32,999)</f>
        <v>999</v>
      </c>
      <c r="I33" s="87"/>
      <c r="J33" s="216">
        <f>IFERROR(J31/J32,999)</f>
        <v>999</v>
      </c>
      <c r="K33" s="87"/>
      <c r="L33" s="216">
        <f>IFERROR(L31/L32,999)</f>
        <v>999</v>
      </c>
      <c r="M33" s="87"/>
      <c r="N33" s="216">
        <f>IFERROR(N31/N32,999)</f>
        <v>999</v>
      </c>
      <c r="O33" s="87"/>
      <c r="P33" s="216">
        <f>IFERROR(P31/P32,999)</f>
        <v>999</v>
      </c>
      <c r="Q33" s="87"/>
      <c r="R33" s="215"/>
      <c r="S33" s="215"/>
      <c r="T33" s="215"/>
      <c r="U33" s="87"/>
    </row>
    <row r="34" spans="1:21" s="195" customFormat="1" x14ac:dyDescent="0.2">
      <c r="A34" s="75"/>
      <c r="B34" s="84"/>
      <c r="C34" s="84"/>
      <c r="D34" s="84"/>
      <c r="E34" s="84"/>
      <c r="F34" s="84"/>
      <c r="G34" s="84"/>
      <c r="H34" s="84"/>
      <c r="I34" s="84"/>
      <c r="J34" s="84"/>
      <c r="K34" s="84"/>
      <c r="L34" s="84"/>
      <c r="M34" s="84"/>
      <c r="N34" s="84"/>
      <c r="O34" s="84"/>
      <c r="P34" s="84"/>
      <c r="Q34" s="84"/>
      <c r="R34" s="84"/>
      <c r="S34" s="84"/>
      <c r="T34" s="84"/>
      <c r="U34" s="84"/>
    </row>
    <row r="35" spans="1:21" s="195" customFormat="1" ht="12" customHeight="1" x14ac:dyDescent="0.25">
      <c r="A35" s="36" t="s">
        <v>135</v>
      </c>
      <c r="B35" s="216" cm="1">
        <f t="array" ref="B35">IFERROR(o_Beschaduwingreductie(B21,B8,B27,B30,B33,B11),1)</f>
        <v>1</v>
      </c>
      <c r="C35" s="208"/>
      <c r="D35" s="216" cm="1">
        <f t="array" ref="D35">IFERROR(o_Beschaduwingreductie(D21,B8,D27,D30,D33,B11),1)</f>
        <v>1</v>
      </c>
      <c r="E35" s="208"/>
      <c r="F35" s="216" cm="1">
        <f t="array" ref="F35">IFERROR(o_Beschaduwingreductie(F21,F8,F27,F30,F33,F11),1)</f>
        <v>1</v>
      </c>
      <c r="G35" s="208"/>
      <c r="H35" s="216" cm="1">
        <f t="array" ref="H35">IFERROR(o_Beschaduwingreductie(H21,F8,H27,H30,H33,F11),1)</f>
        <v>1</v>
      </c>
      <c r="I35" s="208"/>
      <c r="J35" s="216" cm="1">
        <f t="array" ref="J35">IFERROR(o_Beschaduwingreductie(J21,J8,J27,J30,J33,J11),1)</f>
        <v>1</v>
      </c>
      <c r="K35" s="208"/>
      <c r="L35" s="216" cm="1">
        <f t="array" ref="L35">IFERROR(o_Beschaduwingreductie(L21,J8,L27,L30,L33,J11),1)</f>
        <v>1</v>
      </c>
      <c r="M35" s="208"/>
      <c r="N35" s="216" cm="1">
        <f t="array" ref="N35">IFERROR(o_Beschaduwingreductie(N21,N8,N27,N30,N33,N11),1)</f>
        <v>1</v>
      </c>
      <c r="O35" s="208"/>
      <c r="P35" s="216" cm="1">
        <f t="array" ref="P35">IFERROR(o_Beschaduwingreductie(P21,N8,P27,P30,P33,N11),1)</f>
        <v>1</v>
      </c>
      <c r="Q35" s="208"/>
      <c r="R35" s="159" cm="1">
        <f t="array" ref="R35">o_Beschaduwingreductie(R21,R8,R27,R30,R33,R11)</f>
        <v>1</v>
      </c>
      <c r="S35" s="207"/>
      <c r="T35" s="216" cm="1">
        <f t="array" ref="T35">o_Beschaduwingreductie(T21,R8,T27,T30,T33,R11)</f>
        <v>1</v>
      </c>
      <c r="U35" s="208"/>
    </row>
    <row r="36" spans="1:21" s="195" customFormat="1" x14ac:dyDescent="0.2">
      <c r="A36" s="75"/>
      <c r="B36" s="84"/>
      <c r="C36" s="84"/>
      <c r="D36" s="84"/>
      <c r="E36" s="84"/>
      <c r="F36" s="84"/>
      <c r="G36" s="84"/>
      <c r="H36" s="84"/>
      <c r="I36" s="84"/>
      <c r="J36" s="84"/>
      <c r="K36" s="84"/>
      <c r="L36" s="84"/>
      <c r="M36" s="84"/>
      <c r="N36" s="84"/>
      <c r="O36" s="84"/>
      <c r="P36" s="84"/>
      <c r="Q36" s="84"/>
      <c r="R36" s="84"/>
      <c r="S36" s="84"/>
      <c r="T36" s="84"/>
      <c r="U36" s="84"/>
    </row>
    <row r="37" spans="1:21" s="195" customFormat="1" ht="12" customHeight="1" x14ac:dyDescent="0.2">
      <c r="A37" s="36" t="s">
        <v>82</v>
      </c>
      <c r="B37" s="220" t="s">
        <v>84</v>
      </c>
      <c r="C37" s="218"/>
      <c r="D37" s="220" t="s">
        <v>84</v>
      </c>
      <c r="E37" s="212"/>
      <c r="F37" s="220" t="s">
        <v>84</v>
      </c>
      <c r="G37" s="218"/>
      <c r="H37" s="220" t="s">
        <v>84</v>
      </c>
      <c r="I37" s="212"/>
      <c r="J37" s="220" t="s">
        <v>84</v>
      </c>
      <c r="K37" s="218"/>
      <c r="L37" s="220" t="s">
        <v>84</v>
      </c>
      <c r="M37" s="212"/>
      <c r="N37" s="220" t="s">
        <v>84</v>
      </c>
      <c r="O37" s="218"/>
      <c r="P37" s="220" t="s">
        <v>84</v>
      </c>
      <c r="Q37" s="212"/>
      <c r="R37" s="220" t="s">
        <v>84</v>
      </c>
      <c r="S37" s="218"/>
      <c r="T37" s="220" t="s">
        <v>84</v>
      </c>
      <c r="U37" s="208"/>
    </row>
    <row r="38" spans="1:21" s="195" customFormat="1" ht="12" customHeight="1" x14ac:dyDescent="0.25">
      <c r="A38" s="36" t="s">
        <v>136</v>
      </c>
      <c r="B38" s="159" cm="1">
        <f t="array" ref="B38">o_Zonweringreductie(B37,B8)</f>
        <v>1</v>
      </c>
      <c r="C38" s="208"/>
      <c r="D38" s="159" cm="1">
        <f t="array" ref="D38">o_Zonweringreductie(D37,B8)</f>
        <v>1</v>
      </c>
      <c r="E38" s="208"/>
      <c r="F38" s="159" cm="1">
        <f t="array" ref="F38">o_Zonweringreductie(F37,F8)</f>
        <v>1</v>
      </c>
      <c r="G38" s="208"/>
      <c r="H38" s="159" cm="1">
        <f t="array" ref="H38">o_Zonweringreductie(H37,F8)</f>
        <v>1</v>
      </c>
      <c r="I38" s="208"/>
      <c r="J38" s="159" cm="1">
        <f t="array" ref="J38">o_Zonweringreductie(J37,J8)</f>
        <v>1</v>
      </c>
      <c r="K38" s="208"/>
      <c r="L38" s="159" cm="1">
        <f t="array" ref="L38">o_Zonweringreductie(L37,J8)</f>
        <v>1</v>
      </c>
      <c r="M38" s="208"/>
      <c r="N38" s="159" cm="1">
        <f t="array" ref="N38">o_Zonweringreductie(N37,N8)</f>
        <v>1</v>
      </c>
      <c r="O38" s="208"/>
      <c r="P38" s="159" cm="1">
        <f t="array" ref="P38">o_Zonweringreductie(P37,N8)</f>
        <v>1</v>
      </c>
      <c r="Q38" s="208"/>
      <c r="R38" s="159" cm="1">
        <f t="array" ref="R38">o_Zonweringreductie(R37,R8)</f>
        <v>1</v>
      </c>
      <c r="S38" s="208"/>
      <c r="T38" s="159" cm="1">
        <f t="array" ref="T38">o_Zonweringreductie(T37,R8)</f>
        <v>1</v>
      </c>
      <c r="U38" s="208"/>
    </row>
    <row r="39" spans="1:21" s="195" customFormat="1" ht="12" customHeight="1" x14ac:dyDescent="0.25">
      <c r="A39" s="36" t="s">
        <v>137</v>
      </c>
      <c r="B39" s="159" cm="1">
        <f t="array" ref="B39">IF(B10="Nee",0,o_Isol_Bij_Tijdstip($B$52,B8,B11))</f>
        <v>0</v>
      </c>
      <c r="C39" s="208" t="s">
        <v>12</v>
      </c>
      <c r="D39" s="159" cm="1">
        <f t="array" ref="D39">IF(B10="Nee",0,o_Isol_Bij_Tijdstip($B$52,B8,B11))</f>
        <v>0</v>
      </c>
      <c r="E39" s="208" t="s">
        <v>12</v>
      </c>
      <c r="F39" s="159" cm="1">
        <f t="array" ref="F39">IF(F10="Nee",0,o_Isol_Bij_Tijdstip($B$52,F8,F11))</f>
        <v>0</v>
      </c>
      <c r="G39" s="208" t="s">
        <v>12</v>
      </c>
      <c r="H39" s="159" cm="1">
        <f t="array" ref="H39">IF(F10="Nee",0,o_Isol_Bij_Tijdstip($B$52,F8,F11))</f>
        <v>0</v>
      </c>
      <c r="I39" s="208" t="s">
        <v>12</v>
      </c>
      <c r="J39" s="159" cm="1">
        <f t="array" ref="J39">IF(J10="Nee",0,o_Isol_Bij_Tijdstip($B$52,J8,J11))</f>
        <v>0</v>
      </c>
      <c r="K39" s="208" t="s">
        <v>12</v>
      </c>
      <c r="L39" s="159" cm="1">
        <f t="array" ref="L39">IF(J10="Nee",0,o_Isol_Bij_Tijdstip($B$52,J8,J11))</f>
        <v>0</v>
      </c>
      <c r="M39" s="208" t="s">
        <v>12</v>
      </c>
      <c r="N39" s="159" cm="1">
        <f t="array" ref="N39">IF(N10="Nee",0,o_Isol_Bij_Tijdstip($B$52,N8,N11))</f>
        <v>0</v>
      </c>
      <c r="O39" s="208" t="s">
        <v>12</v>
      </c>
      <c r="P39" s="159" cm="1">
        <f t="array" ref="P39">IF(N10="Nee",0,o_Isol_Bij_Tijdstip($B$52,N8,N11))</f>
        <v>0</v>
      </c>
      <c r="Q39" s="208" t="s">
        <v>12</v>
      </c>
      <c r="R39" s="159" cm="1">
        <f t="array" ref="R39">IF(R10="Nee",0,o_Isol_Bij_Tijdstip($B$52,R8,R11))</f>
        <v>0</v>
      </c>
      <c r="S39" s="208" t="s">
        <v>12</v>
      </c>
      <c r="T39" s="159" cm="1">
        <f t="array" ref="T39">IF(R10="Nee",0,o_Isol_Bij_Tijdstip($B$52,R8,R11))</f>
        <v>0</v>
      </c>
      <c r="U39" s="208" t="s">
        <v>12</v>
      </c>
    </row>
    <row r="40" spans="1:21" s="195" customFormat="1" x14ac:dyDescent="0.2">
      <c r="A40" s="75"/>
      <c r="B40" s="84"/>
      <c r="C40" s="84"/>
      <c r="D40" s="84"/>
      <c r="E40" s="84"/>
      <c r="F40" s="84"/>
      <c r="G40" s="84"/>
      <c r="H40" s="84"/>
      <c r="I40" s="84"/>
      <c r="J40" s="84"/>
      <c r="K40" s="84"/>
      <c r="L40" s="84"/>
      <c r="M40" s="84"/>
      <c r="N40" s="84"/>
      <c r="O40" s="84"/>
      <c r="P40" s="84"/>
      <c r="Q40" s="84"/>
      <c r="R40" s="84"/>
      <c r="S40" s="84"/>
      <c r="T40" s="84"/>
      <c r="U40" s="84"/>
    </row>
    <row r="41" spans="1:21" s="195" customFormat="1" ht="12" customHeight="1" x14ac:dyDescent="0.25">
      <c r="A41" s="66" t="s">
        <v>138</v>
      </c>
      <c r="B41" s="239" t="e" cm="1">
        <f t="array" ref="B41">VALUE(o_Tijdstip_Isol_Max_Orientatie(B8,B11))</f>
        <v>#VALUE!</v>
      </c>
      <c r="C41" s="239"/>
      <c r="D41" s="240"/>
      <c r="E41" s="87"/>
      <c r="F41" s="239" cm="1">
        <f t="array" ref="F41">VALUE(o_Tijdstip_Isol_Max_Orientatie(F8,F11))</f>
        <v>0.375</v>
      </c>
      <c r="G41" s="239"/>
      <c r="H41" s="240"/>
      <c r="I41" s="87"/>
      <c r="J41" s="239" cm="1">
        <f t="array" ref="J41">VALUE(o_Tijdstip_Isol_Max_Orientatie(J8,J11))</f>
        <v>0.58333333333333337</v>
      </c>
      <c r="K41" s="239"/>
      <c r="L41" s="240"/>
      <c r="M41" s="87"/>
      <c r="N41" s="239" cm="1">
        <f t="array" ref="N41">VALUE(o_Tijdstip_Isol_Max_Orientatie(N8,N11))</f>
        <v>0.625</v>
      </c>
      <c r="O41" s="239"/>
      <c r="P41" s="240"/>
      <c r="Q41" s="87"/>
      <c r="R41" s="239" cm="1">
        <f t="array" ref="R41">VALUE(o_Tijdstip_Isol_Max_Orientatie(R8,R11))</f>
        <v>0.5</v>
      </c>
      <c r="S41" s="239"/>
      <c r="T41" s="240"/>
      <c r="U41" s="84"/>
    </row>
    <row r="42" spans="1:21" s="195" customFormat="1" ht="12" customHeight="1" x14ac:dyDescent="0.25">
      <c r="A42" s="66" t="s">
        <v>139</v>
      </c>
      <c r="B42" s="241" t="e" cm="1">
        <f t="array" ref="B42">o_maxTemp(o_Tijdstip_Isol_Max_Orientatie(B8,B11))</f>
        <v>#VALUE!</v>
      </c>
      <c r="C42" s="241"/>
      <c r="D42" s="241"/>
      <c r="E42" s="207" t="s">
        <v>2</v>
      </c>
      <c r="F42" s="241" cm="1">
        <f t="array" ref="F42">o_maxTemp(o_Tijdstip_Isol_Max_Orientatie(F8,F11))</f>
        <v>24.7</v>
      </c>
      <c r="G42" s="241"/>
      <c r="H42" s="241"/>
      <c r="I42" s="207" t="s">
        <v>2</v>
      </c>
      <c r="J42" s="241" cm="1">
        <f t="array" ref="J42">o_maxTemp(o_Tijdstip_Isol_Max_Orientatie(J8,J11))</f>
        <v>29.9</v>
      </c>
      <c r="K42" s="241"/>
      <c r="L42" s="241"/>
      <c r="M42" s="207" t="s">
        <v>2</v>
      </c>
      <c r="N42" s="241" cm="1">
        <f t="array" ref="N42">o_maxTemp(o_Tijdstip_Isol_Max_Orientatie(N8,N11))</f>
        <v>29.8</v>
      </c>
      <c r="O42" s="241"/>
      <c r="P42" s="241"/>
      <c r="Q42" s="207" t="s">
        <v>2</v>
      </c>
      <c r="R42" s="241" cm="1">
        <f t="array" ref="R42">o_maxTemp(o_Tijdstip_Isol_Max_Orientatie(R8,R11))</f>
        <v>28.9</v>
      </c>
      <c r="S42" s="241"/>
      <c r="T42" s="241"/>
      <c r="U42" s="84"/>
    </row>
    <row r="43" spans="1:21" s="195" customFormat="1" ht="12" customHeight="1" x14ac:dyDescent="0.2">
      <c r="A43" s="75"/>
      <c r="B43" s="75"/>
      <c r="C43" s="75"/>
      <c r="D43" s="75"/>
      <c r="E43" s="35"/>
      <c r="F43" s="75"/>
      <c r="G43" s="75"/>
      <c r="H43" s="75"/>
      <c r="I43" s="75"/>
      <c r="J43" s="75"/>
      <c r="K43" s="75"/>
      <c r="L43" s="75"/>
      <c r="M43" s="75"/>
      <c r="N43" s="75"/>
      <c r="O43" s="75"/>
      <c r="P43" s="75"/>
      <c r="Q43" s="75"/>
      <c r="R43" s="75"/>
      <c r="S43" s="75"/>
      <c r="T43" s="84"/>
      <c r="U43" s="84"/>
    </row>
    <row r="44" spans="1:21" s="195" customFormat="1" ht="12" hidden="1" customHeight="1" x14ac:dyDescent="0.2">
      <c r="A44" s="92" t="s">
        <v>169</v>
      </c>
      <c r="B44" s="96">
        <f>IF(B10="Ja",B18+D18,0)</f>
        <v>0</v>
      </c>
      <c r="C44" s="35" t="s">
        <v>0</v>
      </c>
      <c r="D44" s="75"/>
      <c r="E44" s="35"/>
      <c r="F44" s="96">
        <f>IF(F10="Ja",F18+H18,0)</f>
        <v>0</v>
      </c>
      <c r="G44" s="35" t="s">
        <v>0</v>
      </c>
      <c r="H44" s="75"/>
      <c r="I44" s="75"/>
      <c r="J44" s="96">
        <f>IF(J10="Ja",J18+L18,0)</f>
        <v>0</v>
      </c>
      <c r="K44" s="35" t="s">
        <v>0</v>
      </c>
      <c r="L44" s="75"/>
      <c r="M44" s="75"/>
      <c r="N44" s="96">
        <f>IF(N10="Ja",N18+P18,0)</f>
        <v>0</v>
      </c>
      <c r="O44" s="35" t="s">
        <v>0</v>
      </c>
      <c r="P44" s="75"/>
      <c r="Q44" s="75"/>
      <c r="R44" s="96">
        <f>IF(R10="Ja",R18+T18,0)</f>
        <v>0</v>
      </c>
      <c r="S44" s="35" t="s">
        <v>0</v>
      </c>
      <c r="T44" s="84"/>
      <c r="U44" s="84"/>
    </row>
    <row r="45" spans="1:21" s="195" customFormat="1" ht="12" hidden="1" customHeight="1" x14ac:dyDescent="0.2">
      <c r="A45" s="92" t="s">
        <v>126</v>
      </c>
      <c r="B45" s="93" t="b">
        <f>IF(B10="Ja",IF(B8="Noord",FALSE,TRUE),FALSE)</f>
        <v>0</v>
      </c>
      <c r="C45" s="35"/>
      <c r="D45" s="35"/>
      <c r="E45" s="35"/>
      <c r="F45" s="94" t="b">
        <f>IF(F10="Ja",IF(F8="Noord",FALSE,TRUE),FALSE)</f>
        <v>0</v>
      </c>
      <c r="G45" s="75"/>
      <c r="H45" s="75"/>
      <c r="I45" s="75"/>
      <c r="J45" s="94" t="b">
        <f>IF(J10="Ja",IF(J8="Noord",FALSE,TRUE),FALSE)</f>
        <v>0</v>
      </c>
      <c r="K45" s="75"/>
      <c r="L45" s="75"/>
      <c r="M45" s="75"/>
      <c r="N45" s="94" t="b">
        <f>IF(N10="Ja",IF(N8="Noord",FALSE,TRUE),FALSE)</f>
        <v>0</v>
      </c>
      <c r="O45" s="75"/>
      <c r="P45" s="75"/>
      <c r="Q45" s="75"/>
      <c r="R45" s="94" t="b">
        <f>IF(R10="Ja",IF(R8="Noord",FALSE,TRUE),FALSE)</f>
        <v>0</v>
      </c>
      <c r="S45" s="75"/>
      <c r="T45" s="84"/>
      <c r="U45" s="84"/>
    </row>
    <row r="46" spans="1:21" s="195" customFormat="1" ht="12" hidden="1" customHeight="1" x14ac:dyDescent="0.2">
      <c r="A46" s="92" t="s">
        <v>109</v>
      </c>
      <c r="B46" s="95" t="b">
        <f>IF(AND(B45=TRUE,COUNTIF($B$45:$R$45,TRUE)=1),TRUE,FALSE)</f>
        <v>0</v>
      </c>
      <c r="C46" s="35"/>
      <c r="D46" s="75"/>
      <c r="E46" s="35"/>
      <c r="F46" s="95" t="b">
        <f>IF(AND(F45=TRUE,COUNTIF($B$45:$R$45,TRUE)=1),TRUE,FALSE)</f>
        <v>0</v>
      </c>
      <c r="G46" s="75"/>
      <c r="H46" s="75"/>
      <c r="I46" s="75"/>
      <c r="J46" s="95" t="b">
        <f>IF(AND(J45=TRUE,COUNTIF($B$45:$R$45,TRUE)=1),TRUE,FALSE)</f>
        <v>0</v>
      </c>
      <c r="K46" s="75"/>
      <c r="L46" s="75"/>
      <c r="M46" s="75"/>
      <c r="N46" s="95" t="b">
        <f>IF(AND(N45=TRUE,COUNTIF($B$45:$R$45,TRUE)=1),TRUE,FALSE)</f>
        <v>0</v>
      </c>
      <c r="O46" s="75"/>
      <c r="P46" s="75"/>
      <c r="Q46" s="75"/>
      <c r="R46" s="95" t="b">
        <f>IF(AND(R45=TRUE,COUNTIF($B$45:$R$45,TRUE)=1),TRUE,FALSE)</f>
        <v>0</v>
      </c>
      <c r="S46" s="75"/>
      <c r="T46" s="84"/>
      <c r="U46" s="84"/>
    </row>
    <row r="47" spans="1:21" s="195" customFormat="1" ht="12" hidden="1" customHeight="1" x14ac:dyDescent="0.2">
      <c r="A47" s="92" t="s">
        <v>152</v>
      </c>
      <c r="B47" s="96">
        <f>IF(B8&lt;&gt;"Noord",B44,0)</f>
        <v>0</v>
      </c>
      <c r="C47" s="35" t="s">
        <v>0</v>
      </c>
      <c r="D47" s="75"/>
      <c r="E47" s="35"/>
      <c r="F47" s="96">
        <f>IF(F8&lt;&gt;"Noord",F44,0)</f>
        <v>0</v>
      </c>
      <c r="G47" s="35" t="s">
        <v>0</v>
      </c>
      <c r="H47" s="75"/>
      <c r="I47" s="75"/>
      <c r="J47" s="96">
        <f>IF(J8&lt;&gt;"Noord",J44,0)</f>
        <v>0</v>
      </c>
      <c r="K47" s="35" t="s">
        <v>0</v>
      </c>
      <c r="L47" s="75"/>
      <c r="M47" s="75"/>
      <c r="N47" s="96">
        <f>IF(N8&lt;&gt;"Noord",N44,0)</f>
        <v>0</v>
      </c>
      <c r="O47" s="35" t="s">
        <v>0</v>
      </c>
      <c r="P47" s="75"/>
      <c r="Q47" s="75"/>
      <c r="R47" s="96">
        <f>R44</f>
        <v>0</v>
      </c>
      <c r="S47" s="35" t="s">
        <v>0</v>
      </c>
      <c r="T47" s="84"/>
      <c r="U47" s="84"/>
    </row>
    <row r="48" spans="1:21" s="195" customFormat="1" ht="12" hidden="1" customHeight="1" x14ac:dyDescent="0.2">
      <c r="A48" s="92" t="s">
        <v>153</v>
      </c>
      <c r="B48" s="97" t="b">
        <f>IF(AND(B45,B47=MAX($B$47:$R$47)),TRUE,FALSE)</f>
        <v>0</v>
      </c>
      <c r="C48" s="35"/>
      <c r="D48" s="75"/>
      <c r="E48" s="35"/>
      <c r="F48" s="97" t="b">
        <f>IF(AND(F45,F47=MAX($B$47:$R$47)),TRUE,FALSE)</f>
        <v>0</v>
      </c>
      <c r="G48" s="75"/>
      <c r="H48" s="75"/>
      <c r="I48" s="75"/>
      <c r="J48" s="97" t="b">
        <f>IF(AND(J45,J47=MAX($B$47:$R$47)),TRUE,FALSE)</f>
        <v>0</v>
      </c>
      <c r="K48" s="75"/>
      <c r="L48" s="75"/>
      <c r="M48" s="75"/>
      <c r="N48" s="97" t="b">
        <f>IF(AND(N45,N47=MAX($B$47:$R$47)),TRUE,FALSE)</f>
        <v>0</v>
      </c>
      <c r="O48" s="75"/>
      <c r="P48" s="75"/>
      <c r="Q48" s="75"/>
      <c r="R48" s="97" t="b">
        <f>IF(AND(R45,R47=MAX($B$47:$R$47)),TRUE,FALSE)</f>
        <v>0</v>
      </c>
      <c r="S48" s="75"/>
      <c r="T48" s="84"/>
      <c r="U48" s="84"/>
    </row>
    <row r="49" spans="1:21" s="195" customFormat="1" ht="12" hidden="1" customHeight="1" x14ac:dyDescent="0.2">
      <c r="A49" s="92" t="s">
        <v>125</v>
      </c>
      <c r="B49" s="98" t="e">
        <f>IF(AND(B11&lt;90,B15&gt;3*(B18+D18),'Projectgegevens en Resultaten'!#REF!&lt;65),TRUE,FALSE)</f>
        <v>#REF!</v>
      </c>
      <c r="C49" s="35"/>
      <c r="D49" s="35"/>
      <c r="E49" s="35"/>
      <c r="F49" s="98" t="e">
        <f>IF(AND(F11&lt;90,F15&gt;3*(F18+H18),'Projectgegevens en Resultaten'!#REF!&lt;65),TRUE,FALSE)</f>
        <v>#REF!</v>
      </c>
      <c r="G49" s="75"/>
      <c r="H49" s="75"/>
      <c r="I49" s="75"/>
      <c r="J49" s="98" t="e">
        <f>IF(AND(J11&lt;90,J15&gt;3*(J18+L18),'Projectgegevens en Resultaten'!#REF!&lt;65),TRUE,FALSE)</f>
        <v>#REF!</v>
      </c>
      <c r="K49" s="75"/>
      <c r="L49" s="75"/>
      <c r="M49" s="75"/>
      <c r="N49" s="98" t="e">
        <f>IF(AND(N11&lt;90,N15&gt;3*(N18+P18),'Projectgegevens en Resultaten'!#REF!&lt;65),TRUE,FALSE)</f>
        <v>#REF!</v>
      </c>
      <c r="O49" s="75"/>
      <c r="P49" s="75"/>
      <c r="Q49" s="75"/>
      <c r="R49" s="98" t="e">
        <f>IF(AND(R11&lt;90,R15&gt;3*(R18+T18),'Projectgegevens en Resultaten'!#REF!&lt;65),TRUE,FALSE)</f>
        <v>#REF!</v>
      </c>
      <c r="S49" s="75"/>
      <c r="T49" s="84"/>
      <c r="U49" s="84"/>
    </row>
    <row r="50" spans="1:21" s="195" customFormat="1" ht="12" hidden="1" customHeight="1" x14ac:dyDescent="0.2">
      <c r="A50" s="92" t="s">
        <v>154</v>
      </c>
      <c r="B50" s="98" t="b">
        <f>IF(COUNTIF($B$49:$R$49,TRUE)&gt;0,TRUE,FALSE)</f>
        <v>0</v>
      </c>
      <c r="C50" s="35"/>
      <c r="D50" s="35"/>
      <c r="E50" s="35"/>
      <c r="F50" s="98" t="b">
        <f>IF(COUNTIF($B$49:$R$49,TRUE)&gt;0,TRUE,FALSE)</f>
        <v>0</v>
      </c>
      <c r="G50" s="75"/>
      <c r="H50" s="75"/>
      <c r="I50" s="75"/>
      <c r="J50" s="98" t="b">
        <f>IF(COUNTIF($B$49:$R$49,TRUE)&gt;0,TRUE,FALSE)</f>
        <v>0</v>
      </c>
      <c r="K50" s="75"/>
      <c r="L50" s="75"/>
      <c r="M50" s="75"/>
      <c r="N50" s="98" t="b">
        <f>IF(COUNTIF($B$49:$R$49,TRUE)&gt;0,TRUE,FALSE)</f>
        <v>0</v>
      </c>
      <c r="O50" s="75"/>
      <c r="P50" s="75"/>
      <c r="Q50" s="75"/>
      <c r="R50" s="98" t="b">
        <f>IF(COUNTIF($B$49:$R$49,TRUE)&gt;0,TRUE,FALSE)</f>
        <v>0</v>
      </c>
      <c r="S50" s="75"/>
      <c r="T50" s="84"/>
      <c r="U50" s="84"/>
    </row>
    <row r="51" spans="1:21" s="195" customFormat="1" ht="12" hidden="1" customHeight="1" x14ac:dyDescent="0.2">
      <c r="A51" s="92" t="s">
        <v>151</v>
      </c>
      <c r="B51" s="99" t="e">
        <f>IF(OR(B46,AND(B45,B50,B49),AND(B45,B48,NOT(B50))),B41)</f>
        <v>#REF!</v>
      </c>
      <c r="C51" s="35"/>
      <c r="D51" s="35"/>
      <c r="E51" s="35"/>
      <c r="F51" s="99" t="e">
        <f>IF(OR(F46,AND(F45,F50,F49),AND(F45,F48,NOT(F50))),F41)</f>
        <v>#REF!</v>
      </c>
      <c r="G51" s="75"/>
      <c r="H51" s="35"/>
      <c r="I51" s="75"/>
      <c r="J51" s="99" t="e">
        <f>IF(OR(J46,AND(J45,J50,J49),AND(J45,J48,NOT(J50))),J41)</f>
        <v>#REF!</v>
      </c>
      <c r="K51" s="75"/>
      <c r="L51" s="35"/>
      <c r="M51" s="75"/>
      <c r="N51" s="99" t="e">
        <f>IF(OR(N46,AND(N45,N50,N49),AND(N45,N48,NOT(N50))),N41)</f>
        <v>#REF!</v>
      </c>
      <c r="O51" s="75"/>
      <c r="P51" s="75"/>
      <c r="Q51" s="75"/>
      <c r="R51" s="99" t="e">
        <f>IF(OR(R46,AND(R45,R50,R49),AND(R45,R48,NOT(R50))),R41)</f>
        <v>#REF!</v>
      </c>
      <c r="S51" s="75"/>
      <c r="T51" s="84"/>
      <c r="U51" s="84"/>
    </row>
    <row r="52" spans="1:21" s="195" customFormat="1" ht="12" customHeight="1" x14ac:dyDescent="0.25">
      <c r="A52" s="39" t="s">
        <v>140</v>
      </c>
      <c r="B52" s="100" t="str">
        <f>IFERROR(B88,"geen glas ingevoerd")</f>
        <v>Geen glas aanwezig</v>
      </c>
      <c r="C52" s="35"/>
      <c r="D52" s="35"/>
      <c r="E52" s="35"/>
      <c r="F52" s="75"/>
      <c r="G52" s="75"/>
      <c r="H52" s="75"/>
      <c r="I52" s="75"/>
      <c r="J52" s="75"/>
      <c r="K52" s="75"/>
      <c r="L52" s="75"/>
      <c r="M52" s="75"/>
      <c r="N52" s="75"/>
      <c r="O52" s="75"/>
      <c r="P52" s="75"/>
      <c r="Q52" s="75"/>
      <c r="R52" s="75"/>
      <c r="S52" s="75"/>
      <c r="T52" s="84"/>
      <c r="U52" s="84"/>
    </row>
    <row r="53" spans="1:21" s="195" customFormat="1" ht="12" customHeight="1" x14ac:dyDescent="0.25">
      <c r="A53" s="66" t="s">
        <v>139</v>
      </c>
      <c r="B53" s="98" t="str">
        <f>IF(MAX(T77:T86)=0,"",_xlfn.XLOOKUP(MAX(T77:T86),T77:T86,$D$77:$D$86,"nvt"))</f>
        <v/>
      </c>
      <c r="C53" s="71" t="s">
        <v>2</v>
      </c>
      <c r="D53" s="35"/>
      <c r="E53" s="35"/>
      <c r="F53" s="75"/>
      <c r="G53" s="75"/>
      <c r="H53" s="75"/>
      <c r="I53" s="75"/>
      <c r="J53" s="75"/>
      <c r="K53" s="75"/>
      <c r="L53" s="75"/>
      <c r="M53" s="75"/>
      <c r="N53" s="75"/>
      <c r="O53" s="75"/>
      <c r="P53" s="75"/>
      <c r="Q53" s="75"/>
      <c r="R53" s="75"/>
      <c r="S53" s="75"/>
      <c r="T53" s="84"/>
      <c r="U53" s="84"/>
    </row>
    <row r="54" spans="1:21" s="195" customFormat="1" ht="12" customHeight="1" x14ac:dyDescent="0.2">
      <c r="A54" s="75"/>
      <c r="B54" s="75"/>
      <c r="C54" s="75"/>
      <c r="D54" s="75"/>
      <c r="E54" s="75"/>
      <c r="F54" s="75"/>
      <c r="G54" s="75"/>
      <c r="H54" s="75"/>
      <c r="I54" s="75"/>
      <c r="J54" s="75"/>
      <c r="K54" s="75"/>
      <c r="L54" s="75"/>
      <c r="M54" s="75"/>
      <c r="N54" s="75"/>
      <c r="O54" s="75"/>
      <c r="P54" s="75"/>
      <c r="Q54" s="75"/>
      <c r="R54" s="75"/>
      <c r="S54" s="75"/>
      <c r="T54" s="84"/>
      <c r="U54" s="84"/>
    </row>
    <row r="55" spans="1:21" s="195" customFormat="1" ht="12" customHeight="1" x14ac:dyDescent="0.25">
      <c r="A55" s="36" t="s">
        <v>260</v>
      </c>
      <c r="B55" s="248">
        <f>IF(B10="Nee",0,B16*'Projectgegevens en Resultaten'!$B$16)</f>
        <v>0</v>
      </c>
      <c r="C55" s="248"/>
      <c r="D55" s="249"/>
      <c r="E55" s="40" t="s">
        <v>11</v>
      </c>
      <c r="F55" s="248">
        <f>IF(F10="Nee",0,F16*'Projectgegevens en Resultaten'!$B$16)</f>
        <v>0</v>
      </c>
      <c r="G55" s="248"/>
      <c r="H55" s="249"/>
      <c r="I55" s="40" t="s">
        <v>11</v>
      </c>
      <c r="J55" s="248">
        <f>IF(J10="Nee",0,J16*'Projectgegevens en Resultaten'!$B$16)</f>
        <v>0</v>
      </c>
      <c r="K55" s="248"/>
      <c r="L55" s="249"/>
      <c r="M55" s="40" t="s">
        <v>11</v>
      </c>
      <c r="N55" s="248">
        <f>IF(N10="Nee",0,N16*'Projectgegevens en Resultaten'!$B$16)</f>
        <v>0</v>
      </c>
      <c r="O55" s="248"/>
      <c r="P55" s="249"/>
      <c r="Q55" s="40" t="s">
        <v>11</v>
      </c>
      <c r="R55" s="248">
        <f>IF(R10="Nee",0,R16*'Projectgegevens en Resultaten'!$B$16)</f>
        <v>0</v>
      </c>
      <c r="S55" s="248"/>
      <c r="T55" s="249"/>
      <c r="U55" s="40" t="s">
        <v>11</v>
      </c>
    </row>
    <row r="56" spans="1:21" s="195" customFormat="1" ht="12" customHeight="1" x14ac:dyDescent="0.25">
      <c r="A56" s="72" t="s">
        <v>142</v>
      </c>
      <c r="B56" s="242">
        <f>(0.75*B18*FLOOR(B20,0.05)*0.9*B35*B38*B39)+(0.75*D18*FLOOR(D20,0.05)*0.9*D35*D38*D39)</f>
        <v>0</v>
      </c>
      <c r="C56" s="242"/>
      <c r="D56" s="243"/>
      <c r="E56" s="40" t="s">
        <v>11</v>
      </c>
      <c r="F56" s="242">
        <f>(0.75*F18*FLOOR(F20,0.05)*0.9*F35*F38*F39)+(0.75*H18*FLOOR(H20,0.05)*0.9*H35*H38*H39)</f>
        <v>0</v>
      </c>
      <c r="G56" s="242"/>
      <c r="H56" s="243"/>
      <c r="I56" s="40" t="s">
        <v>11</v>
      </c>
      <c r="J56" s="242">
        <f>(0.75*J18*FLOOR(J20,0.05)*0.9*J35*J38*J39)+(0.75*L18*FLOOR(L20,0.05)*0.9*L35*L38*L39)</f>
        <v>0</v>
      </c>
      <c r="K56" s="242"/>
      <c r="L56" s="243"/>
      <c r="M56" s="40" t="s">
        <v>11</v>
      </c>
      <c r="N56" s="242">
        <f>(0.75*N18*FLOOR(N20,0.05)*0.9*N35*N38*N39)+(0.75*P18*FLOOR(P20,0.05)*0.9*P35*P38*P39)</f>
        <v>0</v>
      </c>
      <c r="O56" s="242"/>
      <c r="P56" s="243"/>
      <c r="Q56" s="40" t="s">
        <v>11</v>
      </c>
      <c r="R56" s="242">
        <f>(0.75*R18*FLOOR(R20,0.05)*0.9*R35*R38*R39)+(0.75*T18*FLOOR(T20,0.05)*0.9*T35*T38*T39)</f>
        <v>0</v>
      </c>
      <c r="S56" s="242"/>
      <c r="T56" s="243"/>
      <c r="U56" s="40" t="s">
        <v>11</v>
      </c>
    </row>
    <row r="57" spans="1:21" s="195" customFormat="1" ht="12" customHeight="1" x14ac:dyDescent="0.25">
      <c r="A57" s="72" t="s">
        <v>143</v>
      </c>
      <c r="B57" s="248">
        <f>IF(B10="Nee",0,IFERROR(B18*B19*($B$53-24),0)+IFERROR(D18*D19*($B$53-24),0))</f>
        <v>0</v>
      </c>
      <c r="C57" s="248"/>
      <c r="D57" s="249"/>
      <c r="E57" s="40" t="s">
        <v>11</v>
      </c>
      <c r="F57" s="248">
        <f>IF(F10="Nee",0,IFERROR(F18*F19*($B$53-24),0)+IFERROR(H18*H19*($B$53-24),0))</f>
        <v>0</v>
      </c>
      <c r="G57" s="248"/>
      <c r="H57" s="249"/>
      <c r="I57" s="40" t="s">
        <v>11</v>
      </c>
      <c r="J57" s="248">
        <f>IF(J10="Nee",0,IFERROR(J18*J19*($B$53-24),0)+IFERROR(L18*L19*($B$53-24),0))</f>
        <v>0</v>
      </c>
      <c r="K57" s="248"/>
      <c r="L57" s="249"/>
      <c r="M57" s="40" t="s">
        <v>11</v>
      </c>
      <c r="N57" s="248">
        <f>IF(N10="Nee",0,IFERROR(N18*N19*($B$53-24),0)+IFERROR(P18*P19*($B$53-24),0))</f>
        <v>0</v>
      </c>
      <c r="O57" s="248"/>
      <c r="P57" s="249"/>
      <c r="Q57" s="40" t="s">
        <v>11</v>
      </c>
      <c r="R57" s="248">
        <f>IF(R10="Nee",0,IFERROR(R18*R19*($B$53-24),0)+IFERROR(T18*T19*($B$53-24),0))</f>
        <v>0</v>
      </c>
      <c r="S57" s="248"/>
      <c r="T57" s="249"/>
      <c r="U57" s="40" t="s">
        <v>11</v>
      </c>
    </row>
    <row r="58" spans="1:21" s="195" customFormat="1" ht="12" customHeight="1" x14ac:dyDescent="0.2">
      <c r="A58" s="66" t="s">
        <v>100</v>
      </c>
      <c r="B58" s="246">
        <f>SUM(B55:D57)</f>
        <v>0</v>
      </c>
      <c r="C58" s="246"/>
      <c r="D58" s="247"/>
      <c r="E58" s="40" t="s">
        <v>11</v>
      </c>
      <c r="F58" s="246">
        <f>SUM(F55:H57)</f>
        <v>0</v>
      </c>
      <c r="G58" s="246"/>
      <c r="H58" s="247"/>
      <c r="I58" s="41" t="s">
        <v>11</v>
      </c>
      <c r="J58" s="246">
        <f>SUM(J55:L57)</f>
        <v>0</v>
      </c>
      <c r="K58" s="246"/>
      <c r="L58" s="247"/>
      <c r="M58" s="41" t="s">
        <v>11</v>
      </c>
      <c r="N58" s="246">
        <f>SUM(N55:P57)</f>
        <v>0</v>
      </c>
      <c r="O58" s="246"/>
      <c r="P58" s="247"/>
      <c r="Q58" s="41" t="s">
        <v>11</v>
      </c>
      <c r="R58" s="250">
        <f>SUM(R55:R57)</f>
        <v>0</v>
      </c>
      <c r="S58" s="250"/>
      <c r="T58" s="250"/>
      <c r="U58" s="41" t="s">
        <v>11</v>
      </c>
    </row>
    <row r="59" spans="1:21" s="195" customFormat="1" ht="12" customHeight="1" x14ac:dyDescent="0.2">
      <c r="A59" s="75"/>
      <c r="B59" s="76"/>
      <c r="C59" s="76"/>
      <c r="D59" s="76"/>
      <c r="E59" s="75"/>
      <c r="F59" s="75"/>
      <c r="G59" s="75"/>
      <c r="H59" s="75"/>
      <c r="I59" s="75"/>
      <c r="J59" s="75"/>
      <c r="K59" s="75"/>
      <c r="L59" s="75"/>
      <c r="M59" s="75"/>
      <c r="N59" s="75"/>
      <c r="O59" s="75"/>
      <c r="P59" s="75"/>
      <c r="Q59" s="75"/>
      <c r="R59" s="75"/>
      <c r="S59" s="75"/>
      <c r="T59" s="75"/>
      <c r="U59" s="84"/>
    </row>
    <row r="60" spans="1:21" s="195" customFormat="1" ht="12" customHeight="1" x14ac:dyDescent="0.25">
      <c r="A60" s="36" t="s">
        <v>144</v>
      </c>
      <c r="B60" s="242">
        <f>IF(B5=0,0,IF(B4="Woonvertrek",2*'Projectgegevens en Resultaten'!$B$33*B5,'Projectgegevens en Resultaten'!$B$33*B5))</f>
        <v>0</v>
      </c>
      <c r="C60" s="242"/>
      <c r="D60" s="243"/>
      <c r="E60" s="40" t="s">
        <v>11</v>
      </c>
      <c r="F60" s="75"/>
      <c r="G60" s="75"/>
      <c r="H60" s="75"/>
      <c r="I60" s="75"/>
      <c r="J60" s="75"/>
      <c r="K60" s="75"/>
      <c r="L60" s="75"/>
      <c r="M60" s="75"/>
      <c r="N60" s="75"/>
      <c r="O60" s="75"/>
      <c r="P60" s="75"/>
      <c r="Q60" s="75"/>
      <c r="R60" s="65"/>
      <c r="S60" s="35"/>
      <c r="T60" s="75"/>
      <c r="U60" s="84"/>
    </row>
    <row r="61" spans="1:21" s="195" customFormat="1" ht="12" customHeight="1" x14ac:dyDescent="0.25">
      <c r="A61" s="36" t="s">
        <v>145</v>
      </c>
      <c r="B61" s="244">
        <f>IFERROR(MAX((SUM('Projectgegevens en Resultaten'!$B$21:$B$23)/3600*1.205*1005*(B53-24))/SUM('Projectgegevens en Resultaten'!$B$40:$T$40)*B5,0),0)</f>
        <v>0</v>
      </c>
      <c r="C61" s="244">
        <f>IFERROR(MAX(SUM(C57:C59)/3600*1.205*1005*(C60-24),0),0)</f>
        <v>0</v>
      </c>
      <c r="D61" s="245">
        <f>IFERROR(MAX(SUM(D57:D59)/3600*1.205*1005*(D60-24),0),0)</f>
        <v>0</v>
      </c>
      <c r="E61" s="40" t="s">
        <v>11</v>
      </c>
      <c r="F61" s="75"/>
      <c r="G61" s="75"/>
      <c r="H61" s="75"/>
      <c r="I61" s="75"/>
      <c r="J61" s="75"/>
      <c r="K61" s="75"/>
      <c r="L61" s="75"/>
      <c r="M61" s="75"/>
      <c r="N61" s="75"/>
      <c r="O61" s="75"/>
      <c r="P61" s="75"/>
      <c r="Q61" s="75"/>
      <c r="R61" s="65"/>
      <c r="S61" s="35"/>
      <c r="T61" s="75"/>
      <c r="U61" s="84"/>
    </row>
    <row r="62" spans="1:21" s="195" customFormat="1" ht="12" customHeight="1" x14ac:dyDescent="0.2">
      <c r="A62" s="75"/>
      <c r="B62" s="76"/>
      <c r="C62" s="76"/>
      <c r="D62" s="76"/>
      <c r="E62" s="75"/>
      <c r="F62" s="75"/>
      <c r="G62" s="75"/>
      <c r="H62" s="75"/>
      <c r="I62" s="75"/>
      <c r="J62" s="75"/>
      <c r="K62" s="75"/>
      <c r="L62" s="75"/>
      <c r="M62" s="75"/>
      <c r="N62" s="75"/>
      <c r="O62" s="75"/>
      <c r="P62" s="75"/>
      <c r="Q62" s="75"/>
      <c r="R62" s="75"/>
      <c r="S62" s="75"/>
      <c r="T62" s="75"/>
      <c r="U62" s="84"/>
    </row>
    <row r="63" spans="1:21" s="195" customFormat="1" ht="12" customHeight="1" x14ac:dyDescent="0.2">
      <c r="A63" s="72" t="s">
        <v>167</v>
      </c>
      <c r="B63" s="242">
        <f>IFERROR(SUM(B58:T58)+B60+B61,0)</f>
        <v>0</v>
      </c>
      <c r="C63" s="242"/>
      <c r="D63" s="243"/>
      <c r="E63" s="40" t="s">
        <v>11</v>
      </c>
      <c r="F63" s="35"/>
      <c r="G63" s="35"/>
      <c r="H63" s="35"/>
      <c r="I63" s="35"/>
      <c r="J63" s="35"/>
      <c r="K63" s="35"/>
      <c r="L63" s="35"/>
      <c r="M63" s="35"/>
      <c r="N63" s="35"/>
      <c r="O63" s="35"/>
      <c r="P63" s="35"/>
      <c r="Q63" s="35"/>
      <c r="R63" s="35"/>
      <c r="S63" s="35"/>
      <c r="T63" s="75"/>
      <c r="U63" s="84"/>
    </row>
    <row r="64" spans="1:21" s="195" customFormat="1" ht="12" customHeight="1" x14ac:dyDescent="0.2">
      <c r="A64" s="72" t="s">
        <v>99</v>
      </c>
      <c r="B64" s="246">
        <f>IFERROR(B63/B5,0)</f>
        <v>0</v>
      </c>
      <c r="C64" s="246"/>
      <c r="D64" s="247"/>
      <c r="E64" s="40" t="s">
        <v>12</v>
      </c>
      <c r="F64" s="35"/>
      <c r="G64" s="35"/>
      <c r="H64" s="35"/>
      <c r="I64" s="35"/>
      <c r="J64" s="35"/>
      <c r="K64" s="35"/>
      <c r="L64" s="35"/>
      <c r="M64" s="35"/>
      <c r="N64" s="35"/>
      <c r="O64" s="35"/>
      <c r="P64" s="35"/>
      <c r="Q64" s="35"/>
      <c r="R64" s="35"/>
      <c r="S64" s="35"/>
      <c r="T64" s="75"/>
      <c r="U64" s="84"/>
    </row>
    <row r="65" spans="1:21" s="195" customFormat="1" ht="12" customHeight="1" x14ac:dyDescent="0.2">
      <c r="A65" s="75"/>
      <c r="B65" s="75"/>
      <c r="C65" s="75"/>
      <c r="D65" s="75"/>
      <c r="E65" s="75"/>
      <c r="F65" s="75"/>
      <c r="G65" s="75"/>
      <c r="H65" s="75"/>
      <c r="I65" s="75"/>
      <c r="J65" s="75"/>
      <c r="K65" s="75"/>
      <c r="L65" s="75"/>
      <c r="M65" s="75"/>
      <c r="N65" s="75"/>
      <c r="O65" s="75"/>
      <c r="P65" s="75"/>
      <c r="Q65" s="75"/>
      <c r="R65" s="75"/>
      <c r="S65" s="75"/>
      <c r="T65" s="75"/>
      <c r="U65" s="84"/>
    </row>
    <row r="70" spans="1:21" hidden="1" x14ac:dyDescent="0.2"/>
    <row r="71" spans="1:21" ht="15" hidden="1" customHeight="1" x14ac:dyDescent="0.2">
      <c r="A71" s="236" t="s">
        <v>251</v>
      </c>
      <c r="B71" s="236"/>
      <c r="C71" s="236"/>
      <c r="D71" s="236"/>
      <c r="E71" s="236"/>
      <c r="F71" s="236"/>
      <c r="G71" s="236"/>
      <c r="H71" s="236"/>
      <c r="I71" s="236"/>
      <c r="J71" s="236"/>
      <c r="K71" s="236"/>
      <c r="L71" s="236"/>
      <c r="M71" s="236"/>
      <c r="N71" s="236"/>
      <c r="O71" s="236"/>
      <c r="P71" s="236"/>
      <c r="Q71" s="236"/>
      <c r="R71" s="236"/>
      <c r="S71" s="236"/>
      <c r="T71" s="236"/>
      <c r="U71" s="236"/>
    </row>
    <row r="72" spans="1:21" ht="15" hidden="1" customHeight="1" x14ac:dyDescent="0.2">
      <c r="A72" s="236"/>
      <c r="B72" s="236"/>
      <c r="C72" s="236"/>
      <c r="D72" s="236"/>
      <c r="E72" s="236"/>
      <c r="F72" s="236"/>
      <c r="G72" s="236"/>
      <c r="H72" s="236"/>
      <c r="I72" s="236"/>
      <c r="J72" s="236"/>
      <c r="K72" s="236"/>
      <c r="L72" s="236"/>
      <c r="M72" s="236"/>
      <c r="N72" s="236"/>
      <c r="O72" s="236"/>
      <c r="P72" s="236"/>
      <c r="Q72" s="236"/>
      <c r="R72" s="236"/>
      <c r="S72" s="236"/>
      <c r="T72" s="236"/>
      <c r="U72" s="236"/>
    </row>
    <row r="73" spans="1:21" hidden="1" x14ac:dyDescent="0.2">
      <c r="A73" s="196" t="s">
        <v>249</v>
      </c>
      <c r="B73" s="197" cm="1">
        <f t="array" ref="B73">IF(B$10="Nee",0,o_Isol_Max_Orientatie(B8,B11))</f>
        <v>0</v>
      </c>
      <c r="C73" s="198" t="s">
        <v>12</v>
      </c>
      <c r="D73" s="198"/>
      <c r="E73" s="198"/>
      <c r="F73" s="197" cm="1">
        <f t="array" ref="F73">IF(F$10="Nee",0,o_Isol_Max_Orientatie(F8,F11))</f>
        <v>0</v>
      </c>
      <c r="G73" s="198" t="s">
        <v>12</v>
      </c>
      <c r="H73" s="198"/>
      <c r="I73" s="198"/>
      <c r="J73" s="197" cm="1">
        <f t="array" ref="J73">IF(J$10="Nee",0,o_Isol_Max_Orientatie(J8,J11))</f>
        <v>0</v>
      </c>
      <c r="K73" s="198" t="s">
        <v>12</v>
      </c>
      <c r="L73" s="198"/>
      <c r="M73" s="198"/>
      <c r="N73" s="197" cm="1">
        <f t="array" ref="N73">IF(N$10="Nee",0,o_Isol_Max_Orientatie(N8,N11))</f>
        <v>0</v>
      </c>
      <c r="O73" s="198" t="s">
        <v>12</v>
      </c>
      <c r="P73" s="198"/>
      <c r="Q73" s="198"/>
      <c r="R73" s="197" cm="1">
        <f t="array" ref="R73">IF(R$10="Nee",0,o_Isol_Max_Orientatie(R8,R11))</f>
        <v>0</v>
      </c>
      <c r="S73" s="198" t="s">
        <v>12</v>
      </c>
      <c r="T73" s="198"/>
      <c r="U73" s="198"/>
    </row>
    <row r="74" spans="1:21" hidden="1" x14ac:dyDescent="0.2">
      <c r="A74" s="196" t="s">
        <v>250</v>
      </c>
      <c r="B74" s="199" t="e" cm="1">
        <f t="array" ref="B74">VALUE(o_Tijdstip_Isol_Max_Orientatie(B8,B11))</f>
        <v>#VALUE!</v>
      </c>
      <c r="C74" s="198"/>
      <c r="D74" s="198"/>
      <c r="E74" s="198"/>
      <c r="F74" s="200" cm="1">
        <f t="array" ref="F74">VALUE(o_Tijdstip_Isol_Max_Orientatie(F8,F11))</f>
        <v>0.375</v>
      </c>
      <c r="G74" s="198"/>
      <c r="H74" s="198"/>
      <c r="I74" s="198"/>
      <c r="J74" s="200" cm="1">
        <f t="array" ref="J74">VALUE(o_Tijdstip_Isol_Max_Orientatie(J8,J11))</f>
        <v>0.58333333333333337</v>
      </c>
      <c r="K74" s="198"/>
      <c r="L74" s="198"/>
      <c r="M74" s="198"/>
      <c r="N74" s="200" cm="1">
        <f t="array" ref="N74">VALUE(o_Tijdstip_Isol_Max_Orientatie(N8,N11))</f>
        <v>0.625</v>
      </c>
      <c r="O74" s="198"/>
      <c r="P74" s="198"/>
      <c r="Q74" s="198"/>
      <c r="R74" s="200" cm="1">
        <f t="array" ref="R74">VALUE(o_Tijdstip_Isol_Max_Orientatie(R8,R11))</f>
        <v>0.5</v>
      </c>
      <c r="S74" s="198"/>
      <c r="T74" s="198"/>
      <c r="U74" s="198"/>
    </row>
    <row r="75" spans="1:21" hidden="1" x14ac:dyDescent="0.2">
      <c r="A75" s="196"/>
      <c r="B75" s="196"/>
      <c r="C75" s="196"/>
      <c r="D75" s="196"/>
      <c r="E75" s="196"/>
      <c r="F75" s="196"/>
      <c r="G75" s="196"/>
      <c r="H75" s="196"/>
      <c r="I75" s="196"/>
      <c r="J75" s="196"/>
      <c r="K75" s="196"/>
      <c r="L75" s="196"/>
      <c r="M75" s="196"/>
      <c r="N75" s="196"/>
      <c r="O75" s="196"/>
      <c r="P75" s="196"/>
      <c r="Q75" s="196"/>
      <c r="R75" s="196"/>
      <c r="S75" s="196"/>
      <c r="T75" s="196"/>
      <c r="U75" s="196"/>
    </row>
    <row r="76" spans="1:21" ht="13.5" hidden="1" x14ac:dyDescent="0.25">
      <c r="A76" s="196" t="s">
        <v>142</v>
      </c>
      <c r="B76" s="196"/>
      <c r="C76" s="196"/>
      <c r="D76" s="196" t="s">
        <v>284</v>
      </c>
      <c r="E76" s="196"/>
      <c r="F76" s="196"/>
      <c r="G76" s="196"/>
      <c r="H76" s="196"/>
      <c r="I76" s="196"/>
      <c r="J76" s="196"/>
      <c r="K76" s="196"/>
      <c r="L76" s="196"/>
      <c r="M76" s="196"/>
      <c r="N76" s="196"/>
      <c r="O76" s="196"/>
      <c r="P76" s="196"/>
      <c r="Q76" s="196"/>
      <c r="R76" s="196"/>
      <c r="S76" s="196"/>
      <c r="T76" s="196"/>
      <c r="U76" s="196"/>
    </row>
    <row r="77" spans="1:21" hidden="1" x14ac:dyDescent="0.2">
      <c r="A77" s="201">
        <v>0.375</v>
      </c>
      <c r="B77" s="197" cm="1">
        <f t="array" ref="B77">IFERROR((0.75*B$18*FLOOR(B$20,0.05)*0.9*B$35*B$38*o_Isol_Bij_Tijdstip($A77,B$8,B$11))+(0.75*D$18*FLOOR(D$20,0.05)*0.9*D$35*D$38*o_Isol_Bij_Tijdstip($A77,B$8,B$11)),0)</f>
        <v>0</v>
      </c>
      <c r="C77" s="196" t="s">
        <v>11</v>
      </c>
      <c r="D77" s="196">
        <v>24.7</v>
      </c>
      <c r="E77" s="196"/>
      <c r="F77" s="197" cm="1">
        <f t="array" ref="F77">IFERROR((0.75*F$18*FLOOR(F$20,0.05)*0.9*F$35*F$38*o_Isol_Bij_Tijdstip($A77,F$8,F$11))+(0.75*H$18*FLOOR(H$20,0.05)*0.9*H$35*H$38*o_Isol_Bij_Tijdstip($A77,F$8,F$11)),0)</f>
        <v>0</v>
      </c>
      <c r="G77" s="196" t="s">
        <v>11</v>
      </c>
      <c r="H77" s="196"/>
      <c r="I77" s="196"/>
      <c r="J77" s="197" cm="1">
        <f t="array" ref="J77">IFERROR((0.75*J$18*FLOOR(J$20,0.05)*0.9*J$35*J$38*o_Isol_Bij_Tijdstip($A77,J$8,J$11))+(0.75*L$18*FLOOR(L$20,0.05)*0.9*L$35*L$38*o_Isol_Bij_Tijdstip($A77,J$8,J$11)),0)</f>
        <v>0</v>
      </c>
      <c r="K77" s="196" t="s">
        <v>11</v>
      </c>
      <c r="L77" s="196"/>
      <c r="M77" s="196"/>
      <c r="N77" s="197" cm="1">
        <f t="array" ref="N77">IFERROR((0.75*N$18*FLOOR(N$20,0.05)*0.9*N$35*N$38*o_Isol_Bij_Tijdstip($A77,N$8,N$11))+(0.75*P$18*FLOOR(P$20,0.05)*0.9*P$35*P$38*o_Isol_Bij_Tijdstip($A77,N$8,N$11)),0)</f>
        <v>0</v>
      </c>
      <c r="O77" s="196" t="s">
        <v>11</v>
      </c>
      <c r="P77" s="196"/>
      <c r="Q77" s="196"/>
      <c r="R77" s="197" cm="1">
        <f t="array" ref="R77">IFERROR(IF(R$10="Nee",0,(0.75*R$18*FLOOR(R$20,0.05)*0.9*R$35*R$38*o_Isol_Bij_Tijdstip($A77,R$8,R$11))+(0.75*T$18*FLOOR(T$20,0.05)*0.9*T$35*T$38*o_Isol_Bij_Tijdstip($A77,R$8,R$11))),0)</f>
        <v>0</v>
      </c>
      <c r="S77" s="196" t="s">
        <v>11</v>
      </c>
      <c r="T77" s="197">
        <f t="shared" ref="T77:T86" si="0">B77+F77+J77+N77+R77</f>
        <v>0</v>
      </c>
      <c r="U77" s="196" t="s">
        <v>11</v>
      </c>
    </row>
    <row r="78" spans="1:21" hidden="1" x14ac:dyDescent="0.2">
      <c r="A78" s="201">
        <v>0.41666666666666669</v>
      </c>
      <c r="B78" s="197" cm="1">
        <f t="array" ref="B78">IFERROR((0.75*B$18*FLOOR(B$20,0.05)*0.9*B$35*B$38*o_Isol_Bij_Tijdstip($A78,B$8,B$11))+(0.75*D$18*FLOOR(D$20,0.05)*0.9*D$35*D$38*o_Isol_Bij_Tijdstip($A78,B$8,B$11)),0)</f>
        <v>0</v>
      </c>
      <c r="C78" s="196" t="s">
        <v>11</v>
      </c>
      <c r="D78" s="196">
        <v>26.9</v>
      </c>
      <c r="E78" s="196"/>
      <c r="F78" s="197" cm="1">
        <f t="array" ref="F78">IFERROR((0.75*F$18*FLOOR(F$20,0.05)*0.9*F$35*F$38*o_Isol_Bij_Tijdstip($A78,F$8,F$11))+(0.75*H$18*FLOOR(H$20,0.05)*0.9*H$35*H$38*o_Isol_Bij_Tijdstip($A78,F$8,F$11)),0)</f>
        <v>0</v>
      </c>
      <c r="G78" s="196" t="s">
        <v>11</v>
      </c>
      <c r="H78" s="196"/>
      <c r="I78" s="196"/>
      <c r="J78" s="197" cm="1">
        <f t="array" ref="J78">IFERROR((0.75*J$18*FLOOR(J$20,0.05)*0.9*J$35*J$38*o_Isol_Bij_Tijdstip($A78,J$8,J$11))+(0.75*L$18*FLOOR(L$20,0.05)*0.9*L$35*L$38*o_Isol_Bij_Tijdstip($A78,J$8,J$11)),0)</f>
        <v>0</v>
      </c>
      <c r="K78" s="196" t="s">
        <v>11</v>
      </c>
      <c r="L78" s="196"/>
      <c r="M78" s="196"/>
      <c r="N78" s="197" cm="1">
        <f t="array" ref="N78">IFERROR((0.75*N$18*FLOOR(N$20,0.05)*0.9*N$35*N$38*o_Isol_Bij_Tijdstip($A78,N$8,N$11))+(0.75*P$18*FLOOR(P$20,0.05)*0.9*P$35*P$38*o_Isol_Bij_Tijdstip($A78,N$8,N$11)),0)</f>
        <v>0</v>
      </c>
      <c r="O78" s="196" t="s">
        <v>11</v>
      </c>
      <c r="P78" s="196"/>
      <c r="Q78" s="196"/>
      <c r="R78" s="197" cm="1">
        <f t="array" ref="R78">IFERROR(IF(R$10="Nee",0,(0.75*R$18*FLOOR(R$20,0.05)*0.9*R$35*R$38*o_Isol_Bij_Tijdstip($A78,R$8,R$11))+(0.75*T$18*FLOOR(T$20,0.05)*0.9*T$35*T$38*o_Isol_Bij_Tijdstip($A78,R$8,R$11))),0)</f>
        <v>0</v>
      </c>
      <c r="S78" s="196" t="s">
        <v>11</v>
      </c>
      <c r="T78" s="197">
        <f t="shared" si="0"/>
        <v>0</v>
      </c>
      <c r="U78" s="196" t="s">
        <v>11</v>
      </c>
    </row>
    <row r="79" spans="1:21" hidden="1" x14ac:dyDescent="0.2">
      <c r="A79" s="201">
        <v>0.45833333333333331</v>
      </c>
      <c r="B79" s="197" cm="1">
        <f t="array" ref="B79">IFERROR((0.75*B$18*FLOOR(B$20,0.05)*0.9*B$35*B$38*o_Isol_Bij_Tijdstip($A79,B$8,B$11))+(0.75*D$18*FLOOR(D$20,0.05)*0.9*D$35*D$38*o_Isol_Bij_Tijdstip($A79,B$8,B$11)),0)</f>
        <v>0</v>
      </c>
      <c r="C79" s="196" t="s">
        <v>11</v>
      </c>
      <c r="D79" s="196">
        <v>28.2</v>
      </c>
      <c r="E79" s="196"/>
      <c r="F79" s="197" cm="1">
        <f t="array" ref="F79">IFERROR((0.75*F$18*FLOOR(F$20,0.05)*0.9*F$35*F$38*o_Isol_Bij_Tijdstip($A79,F$8,F$11))+(0.75*H$18*FLOOR(H$20,0.05)*0.9*H$35*H$38*o_Isol_Bij_Tijdstip($A79,F$8,F$11)),0)</f>
        <v>0</v>
      </c>
      <c r="G79" s="196" t="s">
        <v>11</v>
      </c>
      <c r="H79" s="196"/>
      <c r="I79" s="196"/>
      <c r="J79" s="197" cm="1">
        <f t="array" ref="J79">IFERROR((0.75*J$18*FLOOR(J$20,0.05)*0.9*J$35*J$38*o_Isol_Bij_Tijdstip($A79,J$8,J$11))+(0.75*L$18*FLOOR(L$20,0.05)*0.9*L$35*L$38*o_Isol_Bij_Tijdstip($A79,J$8,J$11)),0)</f>
        <v>0</v>
      </c>
      <c r="K79" s="196" t="s">
        <v>11</v>
      </c>
      <c r="L79" s="196"/>
      <c r="M79" s="196"/>
      <c r="N79" s="197" cm="1">
        <f t="array" ref="N79">IFERROR((0.75*N$18*FLOOR(N$20,0.05)*0.9*N$35*N$38*o_Isol_Bij_Tijdstip($A79,N$8,N$11))+(0.75*P$18*FLOOR(P$20,0.05)*0.9*P$35*P$38*o_Isol_Bij_Tijdstip($A79,N$8,N$11)),0)</f>
        <v>0</v>
      </c>
      <c r="O79" s="196" t="s">
        <v>11</v>
      </c>
      <c r="P79" s="196"/>
      <c r="Q79" s="196"/>
      <c r="R79" s="197" cm="1">
        <f t="array" ref="R79">IFERROR(IF(R$10="Nee",0,(0.75*R$18*FLOOR(R$20,0.05)*0.9*R$35*R$38*o_Isol_Bij_Tijdstip($A79,R$8,R$11))+(0.75*T$18*FLOOR(T$20,0.05)*0.9*T$35*T$38*o_Isol_Bij_Tijdstip($A79,R$8,R$11))),0)</f>
        <v>0</v>
      </c>
      <c r="S79" s="196" t="s">
        <v>11</v>
      </c>
      <c r="T79" s="197">
        <f t="shared" si="0"/>
        <v>0</v>
      </c>
      <c r="U79" s="196" t="s">
        <v>11</v>
      </c>
    </row>
    <row r="80" spans="1:21" hidden="1" x14ac:dyDescent="0.2">
      <c r="A80" s="201">
        <v>0.5</v>
      </c>
      <c r="B80" s="197" cm="1">
        <f t="array" ref="B80">IFERROR((0.75*B$18*FLOOR(B$20,0.05)*0.9*B$35*B$38*o_Isol_Bij_Tijdstip($A80,B$8,B$11))+(0.75*D$18*FLOOR(D$20,0.05)*0.9*D$35*D$38*o_Isol_Bij_Tijdstip($A80,B$8,B$11)),0)</f>
        <v>0</v>
      </c>
      <c r="C80" s="196" t="s">
        <v>11</v>
      </c>
      <c r="D80" s="196">
        <v>28.9</v>
      </c>
      <c r="E80" s="196"/>
      <c r="F80" s="197" cm="1">
        <f t="array" ref="F80">IFERROR((0.75*F$18*FLOOR(F$20,0.05)*0.9*F$35*F$38*o_Isol_Bij_Tijdstip($A80,F$8,F$11))+(0.75*H$18*FLOOR(H$20,0.05)*0.9*H$35*H$38*o_Isol_Bij_Tijdstip($A80,F$8,F$11)),0)</f>
        <v>0</v>
      </c>
      <c r="G80" s="196" t="s">
        <v>11</v>
      </c>
      <c r="H80" s="196"/>
      <c r="I80" s="196"/>
      <c r="J80" s="197" cm="1">
        <f t="array" ref="J80">IFERROR((0.75*J$18*FLOOR(J$20,0.05)*0.9*J$35*J$38*o_Isol_Bij_Tijdstip($A80,J$8,J$11))+(0.75*L$18*FLOOR(L$20,0.05)*0.9*L$35*L$38*o_Isol_Bij_Tijdstip($A80,J$8,J$11)),0)</f>
        <v>0</v>
      </c>
      <c r="K80" s="196" t="s">
        <v>11</v>
      </c>
      <c r="L80" s="196"/>
      <c r="M80" s="196"/>
      <c r="N80" s="197" cm="1">
        <f t="array" ref="N80">IFERROR((0.75*N$18*FLOOR(N$20,0.05)*0.9*N$35*N$38*o_Isol_Bij_Tijdstip($A80,N$8,N$11))+(0.75*P$18*FLOOR(P$20,0.05)*0.9*P$35*P$38*o_Isol_Bij_Tijdstip($A80,N$8,N$11)),0)</f>
        <v>0</v>
      </c>
      <c r="O80" s="196" t="s">
        <v>11</v>
      </c>
      <c r="P80" s="196"/>
      <c r="Q80" s="196"/>
      <c r="R80" s="197" cm="1">
        <f t="array" ref="R80">IFERROR(IF(R$10="Nee",0,(0.75*R$18*FLOOR(R$20,0.05)*0.9*R$35*R$38*o_Isol_Bij_Tijdstip($A80,R$8,R$11))+(0.75*T$18*FLOOR(T$20,0.05)*0.9*T$35*T$38*o_Isol_Bij_Tijdstip($A80,R$8,R$11))),0)</f>
        <v>0</v>
      </c>
      <c r="S80" s="196" t="s">
        <v>11</v>
      </c>
      <c r="T80" s="197">
        <f t="shared" si="0"/>
        <v>0</v>
      </c>
      <c r="U80" s="196" t="s">
        <v>11</v>
      </c>
    </row>
    <row r="81" spans="1:21" hidden="1" x14ac:dyDescent="0.2">
      <c r="A81" s="201">
        <v>0.54166666666666696</v>
      </c>
      <c r="B81" s="197" cm="1">
        <f t="array" ref="B81">IFERROR((0.75*B$18*FLOOR(B$20,0.05)*0.9*B$35*B$38*o_Isol_Bij_Tijdstip($A81,B$8,B$11))+(0.75*D$18*FLOOR(D$20,0.05)*0.9*D$35*D$38*o_Isol_Bij_Tijdstip($A81,B$8,B$11)),0)</f>
        <v>0</v>
      </c>
      <c r="C81" s="196" t="s">
        <v>11</v>
      </c>
      <c r="D81" s="196">
        <v>29.7</v>
      </c>
      <c r="E81" s="196"/>
      <c r="F81" s="197" cm="1">
        <f t="array" ref="F81">IFERROR((0.75*F$18*FLOOR(F$20,0.05)*0.9*F$35*F$38*o_Isol_Bij_Tijdstip($A81,F$8,F$11))+(0.75*H$18*FLOOR(H$20,0.05)*0.9*H$35*H$38*o_Isol_Bij_Tijdstip($A81,F$8,F$11)),0)</f>
        <v>0</v>
      </c>
      <c r="G81" s="196" t="s">
        <v>11</v>
      </c>
      <c r="H81" s="196"/>
      <c r="I81" s="196"/>
      <c r="J81" s="197" cm="1">
        <f t="array" ref="J81">IFERROR((0.75*J$18*FLOOR(J$20,0.05)*0.9*J$35*J$38*o_Isol_Bij_Tijdstip($A81,J$8,J$11))+(0.75*L$18*FLOOR(L$20,0.05)*0.9*L$35*L$38*o_Isol_Bij_Tijdstip($A81,J$8,J$11)),0)</f>
        <v>0</v>
      </c>
      <c r="K81" s="196" t="s">
        <v>11</v>
      </c>
      <c r="L81" s="196"/>
      <c r="M81" s="196"/>
      <c r="N81" s="197" cm="1">
        <f t="array" ref="N81">IFERROR((0.75*N$18*FLOOR(N$20,0.05)*0.9*N$35*N$38*o_Isol_Bij_Tijdstip($A81,N$8,N$11))+(0.75*P$18*FLOOR(P$20,0.05)*0.9*P$35*P$38*o_Isol_Bij_Tijdstip($A81,N$8,N$11)),0)</f>
        <v>0</v>
      </c>
      <c r="O81" s="196" t="s">
        <v>11</v>
      </c>
      <c r="P81" s="196"/>
      <c r="Q81" s="196"/>
      <c r="R81" s="197" cm="1">
        <f t="array" ref="R81">IFERROR(IF(R$10="Nee",0,(0.75*R$18*FLOOR(R$20,0.05)*0.9*R$35*R$38*o_Isol_Bij_Tijdstip($A81,R$8,R$11))+(0.75*T$18*FLOOR(T$20,0.05)*0.9*T$35*T$38*o_Isol_Bij_Tijdstip($A81,R$8,R$11))),0)</f>
        <v>0</v>
      </c>
      <c r="S81" s="196" t="s">
        <v>11</v>
      </c>
      <c r="T81" s="197">
        <f t="shared" si="0"/>
        <v>0</v>
      </c>
      <c r="U81" s="196" t="s">
        <v>11</v>
      </c>
    </row>
    <row r="82" spans="1:21" hidden="1" x14ac:dyDescent="0.2">
      <c r="A82" s="201">
        <v>0.58333333333333404</v>
      </c>
      <c r="B82" s="197" cm="1">
        <f t="array" ref="B82">IFERROR((0.75*B$18*FLOOR(B$20,0.05)*0.9*B$35*B$38*o_Isol_Bij_Tijdstip($A82,B$8,B$11))+(0.75*D$18*FLOOR(D$20,0.05)*0.9*D$35*D$38*o_Isol_Bij_Tijdstip($A82,B$8,B$11)),0)</f>
        <v>0</v>
      </c>
      <c r="C82" s="196" t="s">
        <v>11</v>
      </c>
      <c r="D82" s="196">
        <v>29.9</v>
      </c>
      <c r="E82" s="196"/>
      <c r="F82" s="197" cm="1">
        <f t="array" ref="F82">IFERROR((0.75*F$18*FLOOR(F$20,0.05)*0.9*F$35*F$38*o_Isol_Bij_Tijdstip($A82,F$8,F$11))+(0.75*H$18*FLOOR(H$20,0.05)*0.9*H$35*H$38*o_Isol_Bij_Tijdstip($A82,F$8,F$11)),0)</f>
        <v>0</v>
      </c>
      <c r="G82" s="196" t="s">
        <v>11</v>
      </c>
      <c r="H82" s="196"/>
      <c r="I82" s="196"/>
      <c r="J82" s="197" cm="1">
        <f t="array" ref="J82">IFERROR((0.75*J$18*FLOOR(J$20,0.05)*0.9*J$35*J$38*o_Isol_Bij_Tijdstip($A82,J$8,J$11))+(0.75*L$18*FLOOR(L$20,0.05)*0.9*L$35*L$38*o_Isol_Bij_Tijdstip($A82,J$8,J$11)),0)</f>
        <v>0</v>
      </c>
      <c r="K82" s="196" t="s">
        <v>11</v>
      </c>
      <c r="L82" s="196"/>
      <c r="M82" s="196"/>
      <c r="N82" s="197" cm="1">
        <f t="array" ref="N82">IFERROR((0.75*N$18*FLOOR(N$20,0.05)*0.9*N$35*N$38*o_Isol_Bij_Tijdstip($A82,N$8,N$11))+(0.75*P$18*FLOOR(P$20,0.05)*0.9*P$35*P$38*o_Isol_Bij_Tijdstip($A82,N$8,N$11)),0)</f>
        <v>0</v>
      </c>
      <c r="O82" s="196" t="s">
        <v>11</v>
      </c>
      <c r="P82" s="196"/>
      <c r="Q82" s="196"/>
      <c r="R82" s="197" cm="1">
        <f t="array" ref="R82">IFERROR(IF(R$10="Nee",0,(0.75*R$18*FLOOR(R$20,0.05)*0.9*R$35*R$38*o_Isol_Bij_Tijdstip($A82,R$8,R$11))+(0.75*T$18*FLOOR(T$20,0.05)*0.9*T$35*T$38*o_Isol_Bij_Tijdstip($A82,R$8,R$11))),0)</f>
        <v>0</v>
      </c>
      <c r="S82" s="196" t="s">
        <v>11</v>
      </c>
      <c r="T82" s="197">
        <f t="shared" si="0"/>
        <v>0</v>
      </c>
      <c r="U82" s="196" t="s">
        <v>11</v>
      </c>
    </row>
    <row r="83" spans="1:21" hidden="1" x14ac:dyDescent="0.2">
      <c r="A83" s="201">
        <v>0.625000000000001</v>
      </c>
      <c r="B83" s="197" cm="1">
        <f t="array" ref="B83">IFERROR((0.75*B$18*FLOOR(B$20,0.05)*0.9*B$35*B$38*o_Isol_Bij_Tijdstip($A83,B$8,B$11))+(0.75*D$18*FLOOR(D$20,0.05)*0.9*D$35*D$38*o_Isol_Bij_Tijdstip($A83,B$8,B$11)),0)</f>
        <v>0</v>
      </c>
      <c r="C83" s="196" t="s">
        <v>11</v>
      </c>
      <c r="D83" s="196">
        <v>29.8</v>
      </c>
      <c r="E83" s="196"/>
      <c r="F83" s="197" cm="1">
        <f t="array" ref="F83">IFERROR((0.75*F$18*FLOOR(F$20,0.05)*0.9*F$35*F$38*o_Isol_Bij_Tijdstip($A83,F$8,F$11))+(0.75*H$18*FLOOR(H$20,0.05)*0.9*H$35*H$38*o_Isol_Bij_Tijdstip($A83,F$8,F$11)),0)</f>
        <v>0</v>
      </c>
      <c r="G83" s="196" t="s">
        <v>11</v>
      </c>
      <c r="H83" s="196"/>
      <c r="I83" s="196"/>
      <c r="J83" s="197" cm="1">
        <f t="array" ref="J83">IFERROR((0.75*J$18*FLOOR(J$20,0.05)*0.9*J$35*J$38*o_Isol_Bij_Tijdstip($A83,J$8,J$11))+(0.75*L$18*FLOOR(L$20,0.05)*0.9*L$35*L$38*o_Isol_Bij_Tijdstip($A83,J$8,J$11)),0)</f>
        <v>0</v>
      </c>
      <c r="K83" s="196" t="s">
        <v>11</v>
      </c>
      <c r="L83" s="196"/>
      <c r="M83" s="196"/>
      <c r="N83" s="197" cm="1">
        <f t="array" ref="N83">IFERROR((0.75*N$18*FLOOR(N$20,0.05)*0.9*N$35*N$38*o_Isol_Bij_Tijdstip($A83,N$8,N$11))+(0.75*P$18*FLOOR(P$20,0.05)*0.9*P$35*P$38*o_Isol_Bij_Tijdstip($A83,N$8,N$11)),0)</f>
        <v>0</v>
      </c>
      <c r="O83" s="196" t="s">
        <v>11</v>
      </c>
      <c r="P83" s="196"/>
      <c r="Q83" s="196"/>
      <c r="R83" s="197" cm="1">
        <f t="array" ref="R83">IFERROR(IF(R$10="Nee",0,(0.75*R$18*FLOOR(R$20,0.05)*0.9*R$35*R$38*o_Isol_Bij_Tijdstip($A83,R$8,R$11))+(0.75*T$18*FLOOR(T$20,0.05)*0.9*T$35*T$38*o_Isol_Bij_Tijdstip($A83,R$8,R$11))),0)</f>
        <v>0</v>
      </c>
      <c r="S83" s="196" t="s">
        <v>11</v>
      </c>
      <c r="T83" s="197">
        <f t="shared" si="0"/>
        <v>0</v>
      </c>
      <c r="U83" s="196" t="s">
        <v>11</v>
      </c>
    </row>
    <row r="84" spans="1:21" hidden="1" x14ac:dyDescent="0.2">
      <c r="A84" s="201">
        <v>0.66666666666666796</v>
      </c>
      <c r="B84" s="197" cm="1">
        <f t="array" ref="B84">IFERROR((0.75*B$18*FLOOR(B$20,0.05)*0.9*B$35*B$38*o_Isol_Bij_Tijdstip($A84,B$8,B$11))+(0.75*D$18*FLOOR(D$20,0.05)*0.9*D$35*D$38*o_Isol_Bij_Tijdstip($A84,B$8,B$11)),0)</f>
        <v>0</v>
      </c>
      <c r="C84" s="196" t="s">
        <v>11</v>
      </c>
      <c r="D84" s="196">
        <v>30.4</v>
      </c>
      <c r="E84" s="196"/>
      <c r="F84" s="197" cm="1">
        <f t="array" ref="F84">IFERROR((0.75*F$18*FLOOR(F$20,0.05)*0.9*F$35*F$38*o_Isol_Bij_Tijdstip($A84,F$8,F$11))+(0.75*H$18*FLOOR(H$20,0.05)*0.9*H$35*H$38*o_Isol_Bij_Tijdstip($A84,F$8,F$11)),0)</f>
        <v>0</v>
      </c>
      <c r="G84" s="196" t="s">
        <v>11</v>
      </c>
      <c r="H84" s="196"/>
      <c r="I84" s="196"/>
      <c r="J84" s="197" cm="1">
        <f t="array" ref="J84">IFERROR((0.75*J$18*FLOOR(J$20,0.05)*0.9*J$35*J$38*o_Isol_Bij_Tijdstip($A84,J$8,J$11))+(0.75*L$18*FLOOR(L$20,0.05)*0.9*L$35*L$38*o_Isol_Bij_Tijdstip($A84,J$8,J$11)),0)</f>
        <v>0</v>
      </c>
      <c r="K84" s="196" t="s">
        <v>11</v>
      </c>
      <c r="L84" s="196"/>
      <c r="M84" s="196"/>
      <c r="N84" s="197" cm="1">
        <f t="array" ref="N84">IFERROR((0.75*N$18*FLOOR(N$20,0.05)*0.9*N$35*N$38*o_Isol_Bij_Tijdstip($A84,N$8,N$11))+(0.75*P$18*FLOOR(P$20,0.05)*0.9*P$35*P$38*o_Isol_Bij_Tijdstip($A84,N$8,N$11)),0)</f>
        <v>0</v>
      </c>
      <c r="O84" s="196" t="s">
        <v>11</v>
      </c>
      <c r="P84" s="196"/>
      <c r="Q84" s="196"/>
      <c r="R84" s="197" cm="1">
        <f t="array" ref="R84">IFERROR(IF(R$10="Nee",0,(0.75*R$18*FLOOR(R$20,0.05)*0.9*R$35*R$38*o_Isol_Bij_Tijdstip($A84,R$8,R$11))+(0.75*T$18*FLOOR(T$20,0.05)*0.9*T$35*T$38*o_Isol_Bij_Tijdstip($A84,R$8,R$11))),0)</f>
        <v>0</v>
      </c>
      <c r="S84" s="196" t="s">
        <v>11</v>
      </c>
      <c r="T84" s="197">
        <f t="shared" si="0"/>
        <v>0</v>
      </c>
      <c r="U84" s="196" t="s">
        <v>11</v>
      </c>
    </row>
    <row r="85" spans="1:21" hidden="1" x14ac:dyDescent="0.2">
      <c r="A85" s="201">
        <v>0.70833333333333504</v>
      </c>
      <c r="B85" s="197" cm="1">
        <f t="array" ref="B85">IFERROR((0.75*B$18*FLOOR(B$20,0.05)*0.9*B$35*B$38*o_Isol_Bij_Tijdstip($A85,B$8,B$11))+(0.75*D$18*FLOOR(D$20,0.05)*0.9*D$35*D$38*o_Isol_Bij_Tijdstip($A85,B$8,B$11)),0)</f>
        <v>0</v>
      </c>
      <c r="C85" s="196" t="s">
        <v>11</v>
      </c>
      <c r="D85" s="196">
        <v>30.6</v>
      </c>
      <c r="E85" s="196"/>
      <c r="F85" s="197" cm="1">
        <f t="array" ref="F85">IFERROR((0.75*F$18*FLOOR(F$20,0.05)*0.9*F$35*F$38*o_Isol_Bij_Tijdstip($A85,F$8,F$11))+(0.75*H$18*FLOOR(H$20,0.05)*0.9*H$35*H$38*o_Isol_Bij_Tijdstip($A85,F$8,F$11)),0)</f>
        <v>0</v>
      </c>
      <c r="G85" s="196" t="s">
        <v>11</v>
      </c>
      <c r="H85" s="196"/>
      <c r="I85" s="196"/>
      <c r="J85" s="197" cm="1">
        <f t="array" ref="J85">IFERROR((0.75*J$18*FLOOR(J$20,0.05)*0.9*J$35*J$38*o_Isol_Bij_Tijdstip($A85,J$8,J$11))+(0.75*L$18*FLOOR(L$20,0.05)*0.9*L$35*L$38*o_Isol_Bij_Tijdstip($A85,J$8,J$11)),0)</f>
        <v>0</v>
      </c>
      <c r="K85" s="196" t="s">
        <v>11</v>
      </c>
      <c r="L85" s="196"/>
      <c r="M85" s="196"/>
      <c r="N85" s="197" cm="1">
        <f t="array" ref="N85">IFERROR((0.75*N$18*FLOOR(N$20,0.05)*0.9*N$35*N$38*o_Isol_Bij_Tijdstip($A85,N$8,N$11))+(0.75*P$18*FLOOR(P$20,0.05)*0.9*P$35*P$38*o_Isol_Bij_Tijdstip($A85,N$8,N$11)),0)</f>
        <v>0</v>
      </c>
      <c r="O85" s="196" t="s">
        <v>11</v>
      </c>
      <c r="P85" s="196"/>
      <c r="Q85" s="196"/>
      <c r="R85" s="197" cm="1">
        <f t="array" ref="R85">IFERROR(IF(R$10="Nee",0,(0.75*R$18*FLOOR(R$20,0.05)*0.9*R$35*R$38*o_Isol_Bij_Tijdstip($A85,R$8,R$11))+(0.75*T$18*FLOOR(T$20,0.05)*0.9*T$35*T$38*o_Isol_Bij_Tijdstip($A85,R$8,R$11))),0)</f>
        <v>0</v>
      </c>
      <c r="S85" s="196" t="s">
        <v>11</v>
      </c>
      <c r="T85" s="197">
        <f t="shared" si="0"/>
        <v>0</v>
      </c>
      <c r="U85" s="196" t="s">
        <v>11</v>
      </c>
    </row>
    <row r="86" spans="1:21" hidden="1" x14ac:dyDescent="0.2">
      <c r="A86" s="201">
        <v>0.750000000000002</v>
      </c>
      <c r="B86" s="197" cm="1">
        <f t="array" ref="B86">IFERROR((0.75*B$18*FLOOR(B$20,0.05)*0.9*B$35*B$38*o_Isol_Bij_Tijdstip($A86,B$8,B$11))+(0.75*D$18*FLOOR(D$20,0.05)*0.9*D$35*D$38*o_Isol_Bij_Tijdstip($A86,B$8,B$11)),0)</f>
        <v>0</v>
      </c>
      <c r="C86" s="196" t="s">
        <v>11</v>
      </c>
      <c r="D86" s="196">
        <v>30.1</v>
      </c>
      <c r="E86" s="196"/>
      <c r="F86" s="197" cm="1">
        <f t="array" ref="F86">IFERROR((0.75*F$18*FLOOR(F$20,0.05)*0.9*F$35*F$38*o_Isol_Bij_Tijdstip($A86,F$8,F$11))+(0.75*H$18*FLOOR(H$20,0.05)*0.9*H$35*H$38*o_Isol_Bij_Tijdstip($A86,F$8,F$11)),0)</f>
        <v>0</v>
      </c>
      <c r="G86" s="196" t="s">
        <v>11</v>
      </c>
      <c r="H86" s="196"/>
      <c r="I86" s="196"/>
      <c r="J86" s="197" cm="1">
        <f t="array" ref="J86">IFERROR((0.75*J$18*FLOOR(J$20,0.05)*0.9*J$35*J$38*o_Isol_Bij_Tijdstip($A86,J$8,J$11))+(0.75*L$18*FLOOR(L$20,0.05)*0.9*L$35*L$38*o_Isol_Bij_Tijdstip($A86,J$8,J$11)),0)</f>
        <v>0</v>
      </c>
      <c r="K86" s="196" t="s">
        <v>11</v>
      </c>
      <c r="L86" s="196"/>
      <c r="M86" s="196"/>
      <c r="N86" s="197" cm="1">
        <f t="array" ref="N86">IFERROR((0.75*N$18*FLOOR(N$20,0.05)*0.9*N$35*N$38*o_Isol_Bij_Tijdstip($A86,N$8,N$11))+(0.75*P$18*FLOOR(P$20,0.05)*0.9*P$35*P$38*o_Isol_Bij_Tijdstip($A86,N$8,N$11)),0)</f>
        <v>0</v>
      </c>
      <c r="O86" s="196" t="s">
        <v>11</v>
      </c>
      <c r="P86" s="196"/>
      <c r="Q86" s="196"/>
      <c r="R86" s="197" cm="1">
        <f t="array" ref="R86">IFERROR(IF(R$10="Nee",0,(0.75*R$18*FLOOR(R$20,0.05)*0.9*R$35*R$38*o_Isol_Bij_Tijdstip($A86,R$8,R$11))+(0.75*T$18*FLOOR(T$20,0.05)*0.9*T$35*T$38*o_Isol_Bij_Tijdstip($A86,R$8,R$11))),0)</f>
        <v>0</v>
      </c>
      <c r="S86" s="196" t="s">
        <v>11</v>
      </c>
      <c r="T86" s="197">
        <f t="shared" si="0"/>
        <v>0</v>
      </c>
      <c r="U86" s="196" t="s">
        <v>11</v>
      </c>
    </row>
    <row r="87" spans="1:21" hidden="1" x14ac:dyDescent="0.2">
      <c r="A87" s="201"/>
      <c r="B87" s="196"/>
      <c r="C87" s="196"/>
      <c r="D87" s="196"/>
      <c r="E87" s="196"/>
      <c r="F87" s="196"/>
      <c r="G87" s="196"/>
      <c r="H87" s="196"/>
      <c r="I87" s="196"/>
      <c r="J87" s="196"/>
      <c r="K87" s="196"/>
      <c r="L87" s="196"/>
      <c r="M87" s="196"/>
      <c r="N87" s="196"/>
      <c r="O87" s="196"/>
      <c r="P87" s="196"/>
      <c r="Q87" s="196"/>
      <c r="R87" s="196"/>
      <c r="S87" s="196"/>
      <c r="T87" s="196"/>
      <c r="U87" s="196"/>
    </row>
    <row r="88" spans="1:21" hidden="1" x14ac:dyDescent="0.2">
      <c r="A88" s="196" t="s">
        <v>151</v>
      </c>
      <c r="B88" s="200" t="str">
        <f>IF(MAX(T77:T86)=0,"Geen glas aanwezig",_xlfn.XLOOKUP(MAX(T77:T86),T77:T86,A77:A86,"nvt"))</f>
        <v>Geen glas aanwezig</v>
      </c>
      <c r="C88" s="196"/>
      <c r="D88" s="196"/>
      <c r="E88" s="196"/>
      <c r="F88" s="196"/>
      <c r="G88" s="196"/>
      <c r="H88" s="196"/>
      <c r="I88" s="196"/>
      <c r="J88" s="196"/>
      <c r="K88" s="196"/>
      <c r="L88" s="196"/>
      <c r="M88" s="196"/>
      <c r="N88" s="196"/>
      <c r="O88" s="196"/>
      <c r="P88" s="196"/>
      <c r="Q88" s="196"/>
      <c r="R88" s="196"/>
      <c r="S88" s="196"/>
      <c r="T88" s="196"/>
      <c r="U88" s="196"/>
    </row>
    <row r="89" spans="1:21" hidden="1" x14ac:dyDescent="0.2"/>
    <row r="90" spans="1:21" hidden="1" x14ac:dyDescent="0.2"/>
    <row r="91" spans="1:21" hidden="1" x14ac:dyDescent="0.2"/>
    <row r="92" spans="1:21" hidden="1" x14ac:dyDescent="0.2"/>
    <row r="93" spans="1:21" hidden="1" x14ac:dyDescent="0.2"/>
    <row r="94" spans="1:21" hidden="1" x14ac:dyDescent="0.2"/>
    <row r="95" spans="1:21" hidden="1" x14ac:dyDescent="0.2"/>
  </sheetData>
  <sheetProtection algorithmName="SHA-512" hashValue="SHjPqfBFaKq7PrKYy4guECUl8CtqLwWCPkC2hWN9bgoDhND7IyE8ACmBBv3sMaL+7FSKuFpHeOnaq/eymPRjBg==" saltValue="khU6m5NwvBUueOndLVtIuQ==" spinCount="100000" sheet="1" objects="1" scenarios="1" selectLockedCells="1"/>
  <mergeCells count="41">
    <mergeCell ref="B60:D60"/>
    <mergeCell ref="B61:D61"/>
    <mergeCell ref="B63:D63"/>
    <mergeCell ref="B64:D64"/>
    <mergeCell ref="B57:D57"/>
    <mergeCell ref="F57:H57"/>
    <mergeCell ref="J57:L57"/>
    <mergeCell ref="N57:P57"/>
    <mergeCell ref="R57:T57"/>
    <mergeCell ref="B58:D58"/>
    <mergeCell ref="F58:H58"/>
    <mergeCell ref="J58:L58"/>
    <mergeCell ref="N58:P58"/>
    <mergeCell ref="R58:T58"/>
    <mergeCell ref="R41:T41"/>
    <mergeCell ref="B56:D56"/>
    <mergeCell ref="F56:H56"/>
    <mergeCell ref="J56:L56"/>
    <mergeCell ref="N56:P56"/>
    <mergeCell ref="R56:T56"/>
    <mergeCell ref="B55:D55"/>
    <mergeCell ref="F55:H55"/>
    <mergeCell ref="J55:L55"/>
    <mergeCell ref="N55:P55"/>
    <mergeCell ref="R55:T55"/>
    <mergeCell ref="A71:U72"/>
    <mergeCell ref="A1:U1"/>
    <mergeCell ref="B7:D7"/>
    <mergeCell ref="F7:H7"/>
    <mergeCell ref="J7:L7"/>
    <mergeCell ref="N7:P7"/>
    <mergeCell ref="R7:U7"/>
    <mergeCell ref="B42:D42"/>
    <mergeCell ref="F42:H42"/>
    <mergeCell ref="J42:L42"/>
    <mergeCell ref="N42:P42"/>
    <mergeCell ref="R42:T42"/>
    <mergeCell ref="B41:D41"/>
    <mergeCell ref="F41:H41"/>
    <mergeCell ref="J41:L41"/>
    <mergeCell ref="N41:P41"/>
  </mergeCells>
  <conditionalFormatting sqref="B77:B86">
    <cfRule type="colorScale" priority="6">
      <colorScale>
        <cfvo type="min"/>
        <cfvo type="percentile" val="50"/>
        <cfvo type="max"/>
        <color rgb="FF61D6FF"/>
        <color rgb="FFFFD85D"/>
        <color rgb="FFFF6D6D"/>
      </colorScale>
    </cfRule>
  </conditionalFormatting>
  <conditionalFormatting sqref="T77:T86">
    <cfRule type="colorScale" priority="5">
      <colorScale>
        <cfvo type="min"/>
        <cfvo type="percentile" val="50"/>
        <cfvo type="max"/>
        <color rgb="FF61D6FF"/>
        <color rgb="FFFFD85D"/>
        <color rgb="FFFF6D6D"/>
      </colorScale>
    </cfRule>
  </conditionalFormatting>
  <conditionalFormatting sqref="F77:F86">
    <cfRule type="colorScale" priority="4">
      <colorScale>
        <cfvo type="min"/>
        <cfvo type="percentile" val="50"/>
        <cfvo type="max"/>
        <color rgb="FF61D6FF"/>
        <color rgb="FFFFD85D"/>
        <color rgb="FFFF6D6D"/>
      </colorScale>
    </cfRule>
  </conditionalFormatting>
  <conditionalFormatting sqref="J77:J86">
    <cfRule type="colorScale" priority="3">
      <colorScale>
        <cfvo type="min"/>
        <cfvo type="percentile" val="50"/>
        <cfvo type="max"/>
        <color rgb="FF61D6FF"/>
        <color rgb="FFFFD85D"/>
        <color rgb="FFFF6D6D"/>
      </colorScale>
    </cfRule>
  </conditionalFormatting>
  <conditionalFormatting sqref="N77:N86">
    <cfRule type="colorScale" priority="2">
      <colorScale>
        <cfvo type="min"/>
        <cfvo type="percentile" val="50"/>
        <cfvo type="max"/>
        <color rgb="FF61D6FF"/>
        <color rgb="FFFFD85D"/>
        <color rgb="FFFF6D6D"/>
      </colorScale>
    </cfRule>
  </conditionalFormatting>
  <conditionalFormatting sqref="R77:R86">
    <cfRule type="colorScale" priority="1">
      <colorScale>
        <cfvo type="min"/>
        <cfvo type="percentile" val="50"/>
        <cfvo type="max"/>
        <color rgb="FF61D6FF"/>
        <color rgb="FFFFD85D"/>
        <color rgb="FFFF6D6D"/>
      </colorScale>
    </cfRule>
  </conditionalFormatting>
  <dataValidations count="5">
    <dataValidation type="list" allowBlank="1" showInputMessage="1" showErrorMessage="1" sqref="F10 R10 J10 N10 B10" xr:uid="{24B38461-D39A-417B-A1B7-378812DB53E0}">
      <formula1>"Nee,Ja"</formula1>
    </dataValidation>
    <dataValidation type="whole" allowBlank="1" showErrorMessage="1" error="Een helling &lt; 15° is en platdak voer deze bij kolom R in. _x000a_90° is de maximale invoerwaarde" sqref="H11 D11 L10:L11 B11 F11 J11 K8:M9 O8:Q10 T11 N11 K10 M10 P11:P12 Q11:Q16 P15:P16" xr:uid="{DD562966-A489-4D71-B68B-C5FBBC52AF6B}">
      <formula1>15</formula1>
      <formula2>90</formula2>
    </dataValidation>
    <dataValidation type="whole" allowBlank="1" showErrorMessage="1" error="Een platdak heeft een helling van maximaal 15°, voor daken in bij gevels op de juiste orientatie" sqref="R11" xr:uid="{CA4A2A1C-8711-4E2B-A4CE-770A1F051D46}">
      <formula1>0</formula1>
      <formula2>15</formula2>
    </dataValidation>
    <dataValidation type="list" allowBlank="1" showInputMessage="1" showErrorMessage="1" sqref="P30 L30 D30 N30 H30 F30 J30 B30" xr:uid="{86147430-E8C4-4781-8031-FB6E1600C71C}">
      <formula1>"Links,Rechts,Beide zijden"</formula1>
    </dataValidation>
    <dataValidation type="list" allowBlank="1" showInputMessage="1" showErrorMessage="1" sqref="B4" xr:uid="{9612FB0F-5CA0-4255-B3E2-6C50BAF4EB24}">
      <formula1>"Woonvertrek, Andere verblijfsruimte"</formula1>
    </dataValidation>
  </dataValidations>
  <pageMargins left="0.23622047244094491" right="0.23622047244094491" top="0.74803149606299213" bottom="0.74803149606299213" header="0.31496062992125984" footer="0.31496062992125984"/>
  <pageSetup paperSize="9" scale="48" orientation="landscape" r:id="rId1"/>
  <headerFooter alignWithMargins="0">
    <oddHeader>&amp;CREKENTOOL VEREENVOUDIGDE BEPALINGSMETHODE KOELBEHOEFTE (BIJLAGE AA - VERSIE 2025 -NTA 8800)&amp;Rversie 2025.04 d.d. 09-04-2025</oddHeader>
    <oddFooter>&amp;LPrint datum:&amp;D &amp;T_x000D_&amp;1#&amp;"Calibri"&amp;10&amp;K000000 Intern gebruik&amp;C&amp;F&amp;R&amp;P van &amp;N</oddFooter>
  </headerFooter>
  <drawing r:id="rId2"/>
  <legacyDrawing r:id="rId3"/>
  <controls>
    <mc:AlternateContent xmlns:mc="http://schemas.openxmlformats.org/markup-compatibility/2006">
      <mc:Choice Requires="x14">
        <control shapeId="20495" r:id="rId4" name="CommandButton1">
          <controlPr defaultSize="0" autoLine="0" r:id="rId5">
            <anchor moveWithCells="1">
              <from>
                <xdr:col>3</xdr:col>
                <xdr:colOff>209550</xdr:colOff>
                <xdr:row>1</xdr:row>
                <xdr:rowOff>133350</xdr:rowOff>
              </from>
              <to>
                <xdr:col>5</xdr:col>
                <xdr:colOff>38100</xdr:colOff>
                <xdr:row>4</xdr:row>
                <xdr:rowOff>9525</xdr:rowOff>
              </to>
            </anchor>
          </controlPr>
        </control>
      </mc:Choice>
      <mc:Fallback>
        <control shapeId="20495" r:id="rId4" name="CommandButton1"/>
      </mc:Fallback>
    </mc:AlternateContent>
  </controls>
  <extLst>
    <ext xmlns:x14="http://schemas.microsoft.com/office/spreadsheetml/2009/9/main" uri="{CCE6A557-97BC-4b89-ADB6-D9C93CAAB3DF}">
      <x14:dataValidations xmlns:xm="http://schemas.microsoft.com/office/excel/2006/main" count="5">
        <x14:dataValidation type="list" allowBlank="1" showInputMessage="1" showErrorMessage="1" xr:uid="{34BBB2BE-DC3F-47C0-A64F-6A540B24E2EE}">
          <x14:formula1>
            <xm:f>Tabellen!$A$85:$A$99</xm:f>
          </x14:formula1>
          <xm:sqref>P37 N37 D37 B37 H37 L37 F37 J37</xm:sqref>
        </x14:dataValidation>
        <x14:dataValidation type="list" allowBlank="1" showInputMessage="1" showErrorMessage="1" xr:uid="{FA312259-C82B-4818-9A3A-22D502FF94A3}">
          <x14:formula1>
            <xm:f>Tabellen!$A$111:$A$113</xm:f>
          </x14:formula1>
          <xm:sqref>R21 T21</xm:sqref>
        </x14:dataValidation>
        <x14:dataValidation type="list" allowBlank="1" showInputMessage="1" showErrorMessage="1" xr:uid="{2E13A41B-D59C-4E35-A7DA-6F01977CD997}">
          <x14:formula1>
            <xm:f>Tabellen!$A$103:$A$108</xm:f>
          </x14:formula1>
          <xm:sqref>L21 H21 B21 D21 N21 F21 P21 J21</xm:sqref>
        </x14:dataValidation>
        <x14:dataValidation type="list" allowBlank="1" showInputMessage="1" showErrorMessage="1" xr:uid="{DB8B77E5-C6F7-40F9-9400-668471548DD1}">
          <x14:formula1>
            <xm:f>Tabellen!$A$42:$A$49</xm:f>
          </x14:formula1>
          <xm:sqref>F8 J8 N8</xm:sqref>
        </x14:dataValidation>
        <x14:dataValidation type="list" allowBlank="1" showInputMessage="1" showErrorMessage="1" xr:uid="{81C3172C-010D-4054-8E10-135EEE345876}">
          <x14:formula1>
            <xm:f>Tabellen!$A$85:$A$97</xm:f>
          </x14:formula1>
          <xm:sqref>R37 T37</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16180-2DB1-46B9-B86E-E1E00FAAE84C}">
  <sheetPr codeName="Blad1"/>
  <dimension ref="A1:H113"/>
  <sheetViews>
    <sheetView showGridLines="0" topLeftCell="A83" zoomScaleNormal="100" workbookViewId="0">
      <selection activeCell="D19" sqref="D19"/>
    </sheetView>
  </sheetViews>
  <sheetFormatPr defaultColWidth="9.140625" defaultRowHeight="14.25" x14ac:dyDescent="0.2"/>
  <cols>
    <col min="1" max="1" width="54" style="13" bestFit="1" customWidth="1"/>
    <col min="2" max="2" width="20.85546875" style="13" bestFit="1" customWidth="1"/>
    <col min="3" max="3" width="20.85546875" style="13" customWidth="1"/>
    <col min="4" max="5" width="22" style="13" customWidth="1"/>
    <col min="6" max="6" width="19.85546875" style="13" customWidth="1"/>
    <col min="7" max="7" width="35.42578125" style="13" bestFit="1" customWidth="1"/>
    <col min="8" max="16384" width="9.140625" style="13"/>
  </cols>
  <sheetData>
    <row r="1" spans="1:4" ht="15" thickBot="1" x14ac:dyDescent="0.25">
      <c r="A1" s="255" t="s">
        <v>74</v>
      </c>
      <c r="B1" s="257"/>
      <c r="D1" s="43" t="s">
        <v>165</v>
      </c>
    </row>
    <row r="2" spans="1:4" x14ac:dyDescent="0.2">
      <c r="A2" s="18" t="s">
        <v>4</v>
      </c>
      <c r="B2" s="19" t="s">
        <v>73</v>
      </c>
      <c r="D2" s="4" t="s">
        <v>164</v>
      </c>
    </row>
    <row r="3" spans="1:4" x14ac:dyDescent="0.2">
      <c r="A3" s="20" t="s">
        <v>108</v>
      </c>
      <c r="B3" s="16">
        <v>17</v>
      </c>
      <c r="D3" s="4" t="s">
        <v>101</v>
      </c>
    </row>
    <row r="4" spans="1:4" x14ac:dyDescent="0.2">
      <c r="A4" s="20" t="s">
        <v>71</v>
      </c>
      <c r="B4" s="16">
        <v>10</v>
      </c>
    </row>
    <row r="5" spans="1:4" x14ac:dyDescent="0.2">
      <c r="A5" s="20" t="s">
        <v>72</v>
      </c>
      <c r="B5" s="16">
        <v>3.2</v>
      </c>
    </row>
    <row r="6" spans="1:4" ht="15" thickBot="1" x14ac:dyDescent="0.25">
      <c r="A6" s="21" t="s">
        <v>70</v>
      </c>
      <c r="B6" s="17">
        <v>2.2000000000000002</v>
      </c>
    </row>
    <row r="7" spans="1:4" ht="15" thickBot="1" x14ac:dyDescent="0.25">
      <c r="A7" s="15"/>
      <c r="B7" s="15"/>
    </row>
    <row r="8" spans="1:4" x14ac:dyDescent="0.2">
      <c r="A8" s="263" t="s">
        <v>45</v>
      </c>
      <c r="B8" s="264"/>
    </row>
    <row r="9" spans="1:4" x14ac:dyDescent="0.2">
      <c r="A9" s="180" t="s">
        <v>13</v>
      </c>
      <c r="B9" s="7"/>
    </row>
    <row r="10" spans="1:4" x14ac:dyDescent="0.2">
      <c r="A10" s="9" t="s">
        <v>14</v>
      </c>
      <c r="B10" s="7" t="s">
        <v>15</v>
      </c>
    </row>
    <row r="11" spans="1:4" x14ac:dyDescent="0.2">
      <c r="A11" s="9" t="s">
        <v>16</v>
      </c>
      <c r="B11" s="7" t="s">
        <v>15</v>
      </c>
    </row>
    <row r="12" spans="1:4" x14ac:dyDescent="0.2">
      <c r="A12" s="9" t="s">
        <v>17</v>
      </c>
      <c r="B12" s="7" t="s">
        <v>15</v>
      </c>
    </row>
    <row r="13" spans="1:4" x14ac:dyDescent="0.2">
      <c r="A13" s="9" t="s">
        <v>18</v>
      </c>
      <c r="B13" s="7" t="s">
        <v>15</v>
      </c>
    </row>
    <row r="14" spans="1:4" x14ac:dyDescent="0.2">
      <c r="A14" s="9" t="s">
        <v>19</v>
      </c>
      <c r="B14" s="7" t="s">
        <v>20</v>
      </c>
    </row>
    <row r="15" spans="1:4" x14ac:dyDescent="0.2">
      <c r="A15" s="9" t="s">
        <v>21</v>
      </c>
      <c r="B15" s="7" t="s">
        <v>20</v>
      </c>
    </row>
    <row r="16" spans="1:4" ht="15" thickBot="1" x14ac:dyDescent="0.25">
      <c r="A16" s="11" t="s">
        <v>22</v>
      </c>
      <c r="B16" s="12" t="s">
        <v>23</v>
      </c>
    </row>
    <row r="17" spans="1:6" x14ac:dyDescent="0.2">
      <c r="A17" s="263" t="s">
        <v>44</v>
      </c>
      <c r="B17" s="264"/>
    </row>
    <row r="18" spans="1:6" x14ac:dyDescent="0.2">
      <c r="A18" s="180" t="s">
        <v>24</v>
      </c>
      <c r="B18" s="181"/>
    </row>
    <row r="19" spans="1:6" x14ac:dyDescent="0.2">
      <c r="A19" s="9" t="s">
        <v>25</v>
      </c>
      <c r="B19" s="7" t="s">
        <v>15</v>
      </c>
    </row>
    <row r="20" spans="1:6" x14ac:dyDescent="0.2">
      <c r="A20" s="9" t="s">
        <v>26</v>
      </c>
      <c r="B20" s="7" t="s">
        <v>15</v>
      </c>
    </row>
    <row r="21" spans="1:6" x14ac:dyDescent="0.2">
      <c r="A21" s="9" t="s">
        <v>27</v>
      </c>
      <c r="B21" s="7" t="s">
        <v>15</v>
      </c>
    </row>
    <row r="22" spans="1:6" x14ac:dyDescent="0.2">
      <c r="A22" s="9" t="s">
        <v>28</v>
      </c>
      <c r="B22" s="7" t="s">
        <v>15</v>
      </c>
    </row>
    <row r="23" spans="1:6" x14ac:dyDescent="0.2">
      <c r="A23" s="9" t="s">
        <v>29</v>
      </c>
      <c r="B23" s="7" t="s">
        <v>20</v>
      </c>
    </row>
    <row r="24" spans="1:6" x14ac:dyDescent="0.2">
      <c r="A24" s="9" t="s">
        <v>30</v>
      </c>
      <c r="B24" s="7" t="s">
        <v>20</v>
      </c>
    </row>
    <row r="25" spans="1:6" ht="15" thickBot="1" x14ac:dyDescent="0.25">
      <c r="A25" s="11" t="s">
        <v>31</v>
      </c>
      <c r="B25" s="12" t="s">
        <v>23</v>
      </c>
    </row>
    <row r="26" spans="1:6" ht="15" thickBot="1" x14ac:dyDescent="0.25"/>
    <row r="27" spans="1:6" ht="22.5" x14ac:dyDescent="0.2">
      <c r="A27" s="267" t="s">
        <v>32</v>
      </c>
      <c r="B27" s="267" t="s">
        <v>33</v>
      </c>
      <c r="C27" s="265" t="s">
        <v>46</v>
      </c>
      <c r="D27" s="2" t="s">
        <v>34</v>
      </c>
      <c r="E27" s="2" t="s">
        <v>36</v>
      </c>
      <c r="F27" s="2" t="s">
        <v>38</v>
      </c>
    </row>
    <row r="28" spans="1:6" ht="15" thickBot="1" x14ac:dyDescent="0.25">
      <c r="A28" s="268"/>
      <c r="B28" s="268"/>
      <c r="C28" s="266"/>
      <c r="D28" s="3" t="s">
        <v>35</v>
      </c>
      <c r="E28" s="3" t="s">
        <v>37</v>
      </c>
      <c r="F28" s="3" t="s">
        <v>37</v>
      </c>
    </row>
    <row r="29" spans="1:6" x14ac:dyDescent="0.2">
      <c r="A29" s="177" t="s">
        <v>15</v>
      </c>
      <c r="B29" s="178" t="s">
        <v>15</v>
      </c>
      <c r="C29" s="178" t="str">
        <f t="shared" ref="C29:C37" si="0">A29&amp;B29</f>
        <v>LichtLicht</v>
      </c>
      <c r="D29" s="178">
        <v>80</v>
      </c>
      <c r="E29" s="178" t="s">
        <v>39</v>
      </c>
      <c r="F29" s="179">
        <v>50</v>
      </c>
    </row>
    <row r="30" spans="1:6" x14ac:dyDescent="0.2">
      <c r="A30" s="175" t="s">
        <v>15</v>
      </c>
      <c r="B30" s="171" t="s">
        <v>20</v>
      </c>
      <c r="C30" s="171" t="str">
        <f t="shared" si="0"/>
        <v>LichtZwaar</v>
      </c>
      <c r="D30" s="252">
        <v>180</v>
      </c>
      <c r="E30" s="252" t="s">
        <v>40</v>
      </c>
      <c r="F30" s="172">
        <v>65</v>
      </c>
    </row>
    <row r="31" spans="1:6" x14ac:dyDescent="0.2">
      <c r="A31" s="175" t="s">
        <v>20</v>
      </c>
      <c r="B31" s="171" t="s">
        <v>15</v>
      </c>
      <c r="C31" s="171" t="str">
        <f t="shared" si="0"/>
        <v>ZwaarLicht</v>
      </c>
      <c r="D31" s="252"/>
      <c r="E31" s="252"/>
      <c r="F31" s="172">
        <v>65</v>
      </c>
    </row>
    <row r="32" spans="1:6" x14ac:dyDescent="0.2">
      <c r="A32" s="175" t="s">
        <v>42</v>
      </c>
      <c r="B32" s="171" t="s">
        <v>15</v>
      </c>
      <c r="C32" s="171" t="str">
        <f t="shared" si="0"/>
        <v>Zeer zwaarLicht</v>
      </c>
      <c r="D32" s="252"/>
      <c r="E32" s="252"/>
      <c r="F32" s="172">
        <v>65</v>
      </c>
    </row>
    <row r="33" spans="1:6" x14ac:dyDescent="0.2">
      <c r="A33" s="175" t="s">
        <v>20</v>
      </c>
      <c r="B33" s="171" t="s">
        <v>20</v>
      </c>
      <c r="C33" s="171" t="str">
        <f t="shared" si="0"/>
        <v>ZwaarZwaar</v>
      </c>
      <c r="D33" s="252">
        <v>360</v>
      </c>
      <c r="E33" s="252" t="s">
        <v>41</v>
      </c>
      <c r="F33" s="172">
        <v>85</v>
      </c>
    </row>
    <row r="34" spans="1:6" x14ac:dyDescent="0.2">
      <c r="A34" s="175" t="s">
        <v>15</v>
      </c>
      <c r="B34" s="171" t="s">
        <v>42</v>
      </c>
      <c r="C34" s="171" t="str">
        <f t="shared" si="0"/>
        <v>LichtZeer zwaar</v>
      </c>
      <c r="D34" s="252"/>
      <c r="E34" s="252"/>
      <c r="F34" s="172">
        <v>85</v>
      </c>
    </row>
    <row r="35" spans="1:6" x14ac:dyDescent="0.2">
      <c r="A35" s="175" t="s">
        <v>20</v>
      </c>
      <c r="B35" s="171" t="s">
        <v>42</v>
      </c>
      <c r="C35" s="171" t="str">
        <f t="shared" si="0"/>
        <v>ZwaarZeer zwaar</v>
      </c>
      <c r="D35" s="252">
        <v>450</v>
      </c>
      <c r="E35" s="252" t="s">
        <v>43</v>
      </c>
      <c r="F35" s="172">
        <v>100</v>
      </c>
    </row>
    <row r="36" spans="1:6" x14ac:dyDescent="0.2">
      <c r="A36" s="175" t="s">
        <v>42</v>
      </c>
      <c r="B36" s="171" t="s">
        <v>20</v>
      </c>
      <c r="C36" s="171" t="str">
        <f t="shared" si="0"/>
        <v>Zeer zwaarZwaar</v>
      </c>
      <c r="D36" s="252"/>
      <c r="E36" s="252"/>
      <c r="F36" s="172">
        <v>100</v>
      </c>
    </row>
    <row r="37" spans="1:6" ht="15" thickBot="1" x14ac:dyDescent="0.25">
      <c r="A37" s="176" t="s">
        <v>42</v>
      </c>
      <c r="B37" s="173" t="s">
        <v>42</v>
      </c>
      <c r="C37" s="173" t="str">
        <f t="shared" si="0"/>
        <v>Zeer zwaarZeer zwaar</v>
      </c>
      <c r="D37" s="262"/>
      <c r="E37" s="262"/>
      <c r="F37" s="174">
        <v>100</v>
      </c>
    </row>
    <row r="38" spans="1:6" ht="15" thickBot="1" x14ac:dyDescent="0.25"/>
    <row r="39" spans="1:6" ht="15" thickBot="1" x14ac:dyDescent="0.25">
      <c r="D39" s="258" t="s">
        <v>61</v>
      </c>
      <c r="E39" s="259"/>
    </row>
    <row r="40" spans="1:6" ht="15" thickBot="1" x14ac:dyDescent="0.25">
      <c r="A40" s="5" t="s">
        <v>49</v>
      </c>
      <c r="B40" s="6" t="s">
        <v>64</v>
      </c>
      <c r="C40" s="1" t="s">
        <v>49</v>
      </c>
      <c r="D40" s="5" t="s">
        <v>59</v>
      </c>
      <c r="E40" s="1" t="s">
        <v>60</v>
      </c>
    </row>
    <row r="41" spans="1:6" x14ac:dyDescent="0.2">
      <c r="A41" s="18" t="s">
        <v>50</v>
      </c>
      <c r="B41" s="165">
        <f>'Projectgegevens en Resultaten'!B26*B4</f>
        <v>0</v>
      </c>
      <c r="C41" s="19" t="s">
        <v>50</v>
      </c>
      <c r="D41" s="168" t="s">
        <v>65</v>
      </c>
      <c r="E41" s="19" t="s">
        <v>65</v>
      </c>
    </row>
    <row r="42" spans="1:6" x14ac:dyDescent="0.2">
      <c r="A42" s="20" t="s">
        <v>51</v>
      </c>
      <c r="B42" s="28">
        <v>0</v>
      </c>
      <c r="C42" s="16" t="s">
        <v>53</v>
      </c>
      <c r="D42" s="169" t="s">
        <v>65</v>
      </c>
      <c r="E42" s="16" t="s">
        <v>65</v>
      </c>
    </row>
    <row r="43" spans="1:6" x14ac:dyDescent="0.2">
      <c r="A43" s="20" t="s">
        <v>187</v>
      </c>
      <c r="B43" s="28">
        <v>45</v>
      </c>
      <c r="C43" s="16" t="s">
        <v>54</v>
      </c>
      <c r="D43" s="164">
        <v>0.375000000000002</v>
      </c>
      <c r="E43" s="166">
        <v>0.45833333333333498</v>
      </c>
    </row>
    <row r="44" spans="1:6" x14ac:dyDescent="0.2">
      <c r="A44" s="20" t="s">
        <v>53</v>
      </c>
      <c r="B44" s="28">
        <v>90</v>
      </c>
      <c r="C44" s="16" t="s">
        <v>55</v>
      </c>
      <c r="D44" s="164">
        <v>0.375000000000002</v>
      </c>
      <c r="E44" s="166">
        <v>0.45833333333333498</v>
      </c>
    </row>
    <row r="45" spans="1:6" x14ac:dyDescent="0.2">
      <c r="A45" s="20" t="s">
        <v>188</v>
      </c>
      <c r="B45" s="28">
        <v>135</v>
      </c>
      <c r="C45" s="16" t="s">
        <v>56</v>
      </c>
      <c r="D45" s="164">
        <v>0.45833333333333498</v>
      </c>
      <c r="E45" s="166">
        <v>0.54166666666666663</v>
      </c>
      <c r="F45" s="14"/>
    </row>
    <row r="46" spans="1:6" x14ac:dyDescent="0.2">
      <c r="A46" s="20" t="s">
        <v>55</v>
      </c>
      <c r="B46" s="28">
        <v>180</v>
      </c>
      <c r="C46" s="16" t="s">
        <v>57</v>
      </c>
      <c r="D46" s="164">
        <v>0.54166666666666896</v>
      </c>
      <c r="E46" s="166">
        <v>0.625000000000002</v>
      </c>
    </row>
    <row r="47" spans="1:6" x14ac:dyDescent="0.2">
      <c r="A47" s="20" t="s">
        <v>190</v>
      </c>
      <c r="B47" s="28">
        <v>225</v>
      </c>
      <c r="C47" s="16" t="s">
        <v>58</v>
      </c>
      <c r="D47" s="164">
        <v>0.625000000000002</v>
      </c>
      <c r="E47" s="166">
        <v>0.6875</v>
      </c>
    </row>
    <row r="48" spans="1:6" x14ac:dyDescent="0.2">
      <c r="A48" s="20" t="s">
        <v>57</v>
      </c>
      <c r="B48" s="28">
        <v>270</v>
      </c>
      <c r="C48" s="16" t="s">
        <v>51</v>
      </c>
      <c r="D48" s="164">
        <v>0.70833333333333504</v>
      </c>
      <c r="E48" s="166">
        <v>0.750000000000002</v>
      </c>
    </row>
    <row r="49" spans="1:6" x14ac:dyDescent="0.2">
      <c r="A49" s="20" t="s">
        <v>189</v>
      </c>
      <c r="B49" s="28">
        <v>315</v>
      </c>
      <c r="C49" s="16" t="s">
        <v>52</v>
      </c>
      <c r="D49" s="164">
        <v>0.70833333333333504</v>
      </c>
      <c r="E49" s="166">
        <v>0.750000000000002</v>
      </c>
    </row>
    <row r="50" spans="1:6" ht="15" thickBot="1" x14ac:dyDescent="0.25">
      <c r="A50" s="21" t="s">
        <v>62</v>
      </c>
      <c r="B50" s="30"/>
      <c r="C50" s="17" t="s">
        <v>62</v>
      </c>
      <c r="D50" s="170">
        <v>0.54166666666666896</v>
      </c>
      <c r="E50" s="167">
        <v>0.66666666666666896</v>
      </c>
      <c r="F50" s="13" t="s">
        <v>63</v>
      </c>
    </row>
    <row r="52" spans="1:6" ht="15" thickBot="1" x14ac:dyDescent="0.25"/>
    <row r="53" spans="1:6" ht="15" thickBot="1" x14ac:dyDescent="0.25">
      <c r="A53" s="260" t="s">
        <v>66</v>
      </c>
      <c r="B53" s="261"/>
    </row>
    <row r="54" spans="1:6" x14ac:dyDescent="0.2">
      <c r="A54" s="160" t="s">
        <v>65</v>
      </c>
      <c r="B54" s="161" t="s">
        <v>65</v>
      </c>
    </row>
    <row r="55" spans="1:6" x14ac:dyDescent="0.2">
      <c r="A55" s="162">
        <v>0.375</v>
      </c>
      <c r="B55" s="16">
        <v>24.7</v>
      </c>
      <c r="D55" s="106"/>
      <c r="F55" s="107"/>
    </row>
    <row r="56" spans="1:6" x14ac:dyDescent="0.2">
      <c r="A56" s="162">
        <v>0.41666666666666702</v>
      </c>
      <c r="B56" s="16">
        <v>26.9</v>
      </c>
    </row>
    <row r="57" spans="1:6" x14ac:dyDescent="0.2">
      <c r="A57" s="162">
        <v>0.45833333333333298</v>
      </c>
      <c r="B57" s="16">
        <v>28.2</v>
      </c>
    </row>
    <row r="58" spans="1:6" x14ac:dyDescent="0.2">
      <c r="A58" s="162">
        <v>0.5</v>
      </c>
      <c r="B58" s="16">
        <v>28.9</v>
      </c>
    </row>
    <row r="59" spans="1:6" x14ac:dyDescent="0.2">
      <c r="A59" s="162">
        <v>0.54166666666666696</v>
      </c>
      <c r="B59" s="16">
        <v>29.7</v>
      </c>
    </row>
    <row r="60" spans="1:6" x14ac:dyDescent="0.2">
      <c r="A60" s="162">
        <v>0.58333333333333304</v>
      </c>
      <c r="B60" s="16">
        <v>29.9</v>
      </c>
    </row>
    <row r="61" spans="1:6" x14ac:dyDescent="0.2">
      <c r="A61" s="162">
        <v>0.625</v>
      </c>
      <c r="B61" s="16">
        <v>29.8</v>
      </c>
    </row>
    <row r="62" spans="1:6" x14ac:dyDescent="0.2">
      <c r="A62" s="162">
        <v>0.66666666666666696</v>
      </c>
      <c r="B62" s="16">
        <v>30.4</v>
      </c>
    </row>
    <row r="63" spans="1:6" x14ac:dyDescent="0.2">
      <c r="A63" s="162">
        <v>0.70833333333333304</v>
      </c>
      <c r="B63" s="16">
        <v>30.6</v>
      </c>
    </row>
    <row r="64" spans="1:6" x14ac:dyDescent="0.2">
      <c r="A64" s="162">
        <v>0.75</v>
      </c>
      <c r="B64" s="16">
        <v>30.1</v>
      </c>
    </row>
    <row r="65" spans="1:8" x14ac:dyDescent="0.2">
      <c r="A65" s="162">
        <v>0.79166666666666696</v>
      </c>
      <c r="B65" s="16">
        <v>29.5</v>
      </c>
    </row>
    <row r="66" spans="1:8" x14ac:dyDescent="0.2">
      <c r="A66" s="162">
        <v>0.83333333333333304</v>
      </c>
      <c r="B66" s="16">
        <v>25.9</v>
      </c>
    </row>
    <row r="67" spans="1:8" ht="15" thickBot="1" x14ac:dyDescent="0.25">
      <c r="A67" s="163">
        <v>0.875</v>
      </c>
      <c r="B67" s="17">
        <v>23.4</v>
      </c>
    </row>
    <row r="68" spans="1:8" x14ac:dyDescent="0.2">
      <c r="A68" s="106"/>
    </row>
    <row r="69" spans="1:8" x14ac:dyDescent="0.2">
      <c r="A69" s="106"/>
    </row>
    <row r="70" spans="1:8" ht="15" thickBot="1" x14ac:dyDescent="0.25"/>
    <row r="71" spans="1:8" ht="15" thickBot="1" x14ac:dyDescent="0.25">
      <c r="A71" s="255" t="s">
        <v>75</v>
      </c>
      <c r="B71" s="256"/>
      <c r="C71" s="256"/>
      <c r="D71" s="256"/>
      <c r="E71" s="256"/>
      <c r="F71" s="256"/>
      <c r="G71" s="257"/>
    </row>
    <row r="72" spans="1:8" x14ac:dyDescent="0.2">
      <c r="A72" s="22"/>
      <c r="B72" s="23" t="s">
        <v>76</v>
      </c>
      <c r="C72" s="23" t="s">
        <v>77</v>
      </c>
      <c r="D72" s="23" t="s">
        <v>78</v>
      </c>
      <c r="E72" s="23" t="s">
        <v>79</v>
      </c>
      <c r="F72" s="23" t="s">
        <v>80</v>
      </c>
      <c r="G72" s="24" t="s">
        <v>81</v>
      </c>
    </row>
    <row r="73" spans="1:8" x14ac:dyDescent="0.2">
      <c r="A73" s="25"/>
      <c r="B73" s="26">
        <v>0</v>
      </c>
      <c r="C73" s="26">
        <v>30</v>
      </c>
      <c r="D73" s="26">
        <v>45</v>
      </c>
      <c r="E73" s="26">
        <v>60</v>
      </c>
      <c r="F73" s="26">
        <v>90</v>
      </c>
      <c r="G73" s="27">
        <v>180</v>
      </c>
    </row>
    <row r="74" spans="1:8" x14ac:dyDescent="0.2">
      <c r="A74" s="20" t="s">
        <v>51</v>
      </c>
      <c r="B74" s="28">
        <v>0</v>
      </c>
      <c r="C74" s="28">
        <v>0</v>
      </c>
      <c r="D74" s="28">
        <v>0</v>
      </c>
      <c r="E74" s="28">
        <v>0</v>
      </c>
      <c r="F74" s="28">
        <v>0</v>
      </c>
      <c r="G74" s="16">
        <v>0</v>
      </c>
      <c r="H74" s="29" t="s">
        <v>106</v>
      </c>
    </row>
    <row r="75" spans="1:8" x14ac:dyDescent="0.2">
      <c r="A75" s="20" t="s">
        <v>52</v>
      </c>
      <c r="B75" s="28">
        <v>191</v>
      </c>
      <c r="C75" s="28">
        <v>156.9</v>
      </c>
      <c r="D75" s="28">
        <v>132.69999999999999</v>
      </c>
      <c r="E75" s="28">
        <v>112.3</v>
      </c>
      <c r="F75" s="28">
        <v>81.2</v>
      </c>
      <c r="G75" s="16">
        <v>38.200000000000003</v>
      </c>
    </row>
    <row r="76" spans="1:8" x14ac:dyDescent="0.2">
      <c r="A76" s="20" t="s">
        <v>53</v>
      </c>
      <c r="B76" s="28">
        <v>191</v>
      </c>
      <c r="C76" s="28">
        <v>175</v>
      </c>
      <c r="D76" s="28">
        <v>160.4</v>
      </c>
      <c r="E76" s="28">
        <v>143.19999999999999</v>
      </c>
      <c r="F76" s="28">
        <v>104.9</v>
      </c>
      <c r="G76" s="16">
        <v>38.200000000000003</v>
      </c>
    </row>
    <row r="77" spans="1:8" x14ac:dyDescent="0.2">
      <c r="A77" s="20" t="s">
        <v>54</v>
      </c>
      <c r="B77" s="28">
        <v>191</v>
      </c>
      <c r="C77" s="28">
        <v>190</v>
      </c>
      <c r="D77" s="28">
        <v>179.1</v>
      </c>
      <c r="E77" s="28">
        <v>161.80000000000001</v>
      </c>
      <c r="F77" s="28">
        <v>113.2</v>
      </c>
      <c r="G77" s="16">
        <v>38.200000000000003</v>
      </c>
    </row>
    <row r="78" spans="1:8" x14ac:dyDescent="0.2">
      <c r="A78" s="20" t="s">
        <v>55</v>
      </c>
      <c r="B78" s="28">
        <v>191</v>
      </c>
      <c r="C78" s="28">
        <v>196.1</v>
      </c>
      <c r="D78" s="28">
        <v>185</v>
      </c>
      <c r="E78" s="28">
        <v>165.9</v>
      </c>
      <c r="F78" s="28">
        <v>109.7</v>
      </c>
      <c r="G78" s="16">
        <v>38.200000000000003</v>
      </c>
    </row>
    <row r="79" spans="1:8" x14ac:dyDescent="0.2">
      <c r="A79" s="20" t="s">
        <v>56</v>
      </c>
      <c r="B79" s="28">
        <v>191</v>
      </c>
      <c r="C79" s="28">
        <v>193.2</v>
      </c>
      <c r="D79" s="28">
        <v>182.5</v>
      </c>
      <c r="E79" s="28">
        <v>165.4</v>
      </c>
      <c r="F79" s="28">
        <v>117.1</v>
      </c>
      <c r="G79" s="16">
        <v>38.200000000000003</v>
      </c>
    </row>
    <row r="80" spans="1:8" x14ac:dyDescent="0.2">
      <c r="A80" s="20" t="s">
        <v>57</v>
      </c>
      <c r="B80" s="28">
        <v>191</v>
      </c>
      <c r="C80" s="28">
        <v>180.2</v>
      </c>
      <c r="D80" s="28">
        <v>166.8</v>
      </c>
      <c r="E80" s="28">
        <v>150.6</v>
      </c>
      <c r="F80" s="28">
        <v>112.7</v>
      </c>
      <c r="G80" s="16">
        <v>38.200000000000003</v>
      </c>
    </row>
    <row r="81" spans="1:7" ht="15" thickBot="1" x14ac:dyDescent="0.25">
      <c r="A81" s="21" t="s">
        <v>58</v>
      </c>
      <c r="B81" s="30">
        <v>191</v>
      </c>
      <c r="C81" s="30">
        <v>162.1</v>
      </c>
      <c r="D81" s="30">
        <v>139</v>
      </c>
      <c r="E81" s="30">
        <v>119.2</v>
      </c>
      <c r="F81" s="30">
        <v>88.5</v>
      </c>
      <c r="G81" s="17">
        <v>38.200000000000003</v>
      </c>
    </row>
    <row r="82" spans="1:7" ht="15" thickBot="1" x14ac:dyDescent="0.25"/>
    <row r="83" spans="1:7" ht="15" thickBot="1" x14ac:dyDescent="0.25">
      <c r="A83" s="253" t="s">
        <v>97</v>
      </c>
      <c r="B83" s="254"/>
    </row>
    <row r="84" spans="1:7" x14ac:dyDescent="0.2">
      <c r="A84" s="18" t="s">
        <v>82</v>
      </c>
      <c r="B84" s="8" t="s">
        <v>83</v>
      </c>
    </row>
    <row r="85" spans="1:7" x14ac:dyDescent="0.2">
      <c r="A85" s="9" t="s">
        <v>84</v>
      </c>
      <c r="B85" s="10">
        <v>1</v>
      </c>
    </row>
    <row r="86" spans="1:7" x14ac:dyDescent="0.2">
      <c r="A86" s="9" t="s">
        <v>85</v>
      </c>
      <c r="B86" s="7">
        <v>0.12</v>
      </c>
    </row>
    <row r="87" spans="1:7" x14ac:dyDescent="0.2">
      <c r="A87" s="9" t="s">
        <v>86</v>
      </c>
      <c r="B87" s="7">
        <v>0.2</v>
      </c>
    </row>
    <row r="88" spans="1:7" x14ac:dyDescent="0.2">
      <c r="A88" s="9" t="s">
        <v>87</v>
      </c>
      <c r="B88" s="7">
        <v>0.25</v>
      </c>
    </row>
    <row r="89" spans="1:7" x14ac:dyDescent="0.2">
      <c r="A89" s="9" t="s">
        <v>88</v>
      </c>
      <c r="B89" s="7">
        <v>0.2</v>
      </c>
    </row>
    <row r="90" spans="1:7" x14ac:dyDescent="0.2">
      <c r="A90" s="9" t="s">
        <v>89</v>
      </c>
      <c r="B90" s="7">
        <v>0.05</v>
      </c>
    </row>
    <row r="91" spans="1:7" x14ac:dyDescent="0.2">
      <c r="A91" s="9" t="s">
        <v>90</v>
      </c>
      <c r="B91" s="7">
        <v>0.1</v>
      </c>
      <c r="C91" s="31"/>
      <c r="D91" s="31"/>
    </row>
    <row r="92" spans="1:7" x14ac:dyDescent="0.2">
      <c r="A92" s="9" t="s">
        <v>91</v>
      </c>
      <c r="B92" s="7">
        <v>0.2</v>
      </c>
    </row>
    <row r="93" spans="1:7" x14ac:dyDescent="0.2">
      <c r="A93" s="9" t="s">
        <v>92</v>
      </c>
      <c r="B93" s="7">
        <v>0.1</v>
      </c>
    </row>
    <row r="94" spans="1:7" x14ac:dyDescent="0.2">
      <c r="A94" s="9" t="s">
        <v>93</v>
      </c>
      <c r="B94" s="7">
        <v>0.11</v>
      </c>
    </row>
    <row r="95" spans="1:7" x14ac:dyDescent="0.2">
      <c r="A95" s="9" t="s">
        <v>94</v>
      </c>
      <c r="B95" s="7">
        <v>0.04</v>
      </c>
    </row>
    <row r="96" spans="1:7" x14ac:dyDescent="0.2">
      <c r="A96" s="9" t="s">
        <v>95</v>
      </c>
      <c r="B96" s="7">
        <v>0.11</v>
      </c>
    </row>
    <row r="97" spans="1:2" ht="15" thickBot="1" x14ac:dyDescent="0.25">
      <c r="A97" s="11" t="s">
        <v>96</v>
      </c>
      <c r="B97" s="12">
        <v>0.45</v>
      </c>
    </row>
    <row r="98" spans="1:2" x14ac:dyDescent="0.2">
      <c r="A98" s="9" t="s">
        <v>223</v>
      </c>
      <c r="B98" s="7"/>
    </row>
    <row r="99" spans="1:2" ht="15" thickBot="1" x14ac:dyDescent="0.25">
      <c r="A99" s="11" t="s">
        <v>222</v>
      </c>
      <c r="B99" s="12"/>
    </row>
    <row r="101" spans="1:2" ht="15" thickBot="1" x14ac:dyDescent="0.25"/>
    <row r="102" spans="1:2" x14ac:dyDescent="0.2">
      <c r="A102" s="253" t="s">
        <v>118</v>
      </c>
      <c r="B102" s="254"/>
    </row>
    <row r="103" spans="1:2" x14ac:dyDescent="0.2">
      <c r="A103" s="42" t="s">
        <v>111</v>
      </c>
      <c r="B103" s="28" t="s">
        <v>159</v>
      </c>
    </row>
    <row r="104" spans="1:2" x14ac:dyDescent="0.2">
      <c r="A104" s="42" t="s">
        <v>112</v>
      </c>
      <c r="B104" s="28" t="s">
        <v>160</v>
      </c>
    </row>
    <row r="105" spans="1:2" x14ac:dyDescent="0.2">
      <c r="A105" s="42" t="s">
        <v>113</v>
      </c>
      <c r="B105" s="28" t="s">
        <v>161</v>
      </c>
    </row>
    <row r="106" spans="1:2" x14ac:dyDescent="0.2">
      <c r="A106" s="42" t="s">
        <v>114</v>
      </c>
      <c r="B106" s="28" t="s">
        <v>162</v>
      </c>
    </row>
    <row r="107" spans="1:2" x14ac:dyDescent="0.2">
      <c r="A107" s="42" t="s">
        <v>115</v>
      </c>
      <c r="B107" s="28" t="s">
        <v>160</v>
      </c>
    </row>
    <row r="108" spans="1:2" x14ac:dyDescent="0.2">
      <c r="A108" s="42" t="s">
        <v>116</v>
      </c>
      <c r="B108" s="28"/>
    </row>
    <row r="109" spans="1:2" ht="15" thickBot="1" x14ac:dyDescent="0.25"/>
    <row r="110" spans="1:2" x14ac:dyDescent="0.2">
      <c r="A110" s="253" t="s">
        <v>117</v>
      </c>
      <c r="B110" s="254"/>
    </row>
    <row r="111" spans="1:2" x14ac:dyDescent="0.2">
      <c r="A111" s="28" t="s">
        <v>111</v>
      </c>
      <c r="B111" s="28"/>
    </row>
    <row r="112" spans="1:2" x14ac:dyDescent="0.2">
      <c r="A112" s="28" t="s">
        <v>114</v>
      </c>
      <c r="B112" s="28"/>
    </row>
    <row r="113" spans="1:2" x14ac:dyDescent="0.2">
      <c r="A113" s="28" t="s">
        <v>116</v>
      </c>
      <c r="B113" s="28"/>
    </row>
  </sheetData>
  <sheetProtection algorithmName="SHA-512" hashValue="Y8VevS3U9z8THZODbWgZL94SJBx+cUr78F1X6b13FZyV++GHPFgi5b7g4Ai3EYkdQN+pG+Hg984w07O8FW2olw==" saltValue="rfpe29F/Efa2dgIC7L9NOQ==" spinCount="100000" sheet="1" objects="1" scenarios="1"/>
  <mergeCells count="18">
    <mergeCell ref="A1:B1"/>
    <mergeCell ref="D39:E39"/>
    <mergeCell ref="A53:B53"/>
    <mergeCell ref="D35:D37"/>
    <mergeCell ref="E35:E37"/>
    <mergeCell ref="A17:B17"/>
    <mergeCell ref="A8:B8"/>
    <mergeCell ref="C27:C28"/>
    <mergeCell ref="A27:A28"/>
    <mergeCell ref="B27:B28"/>
    <mergeCell ref="D30:D32"/>
    <mergeCell ref="E30:E32"/>
    <mergeCell ref="D33:D34"/>
    <mergeCell ref="E33:E34"/>
    <mergeCell ref="A102:B102"/>
    <mergeCell ref="A110:B110"/>
    <mergeCell ref="A71:G71"/>
    <mergeCell ref="A83:B83"/>
  </mergeCells>
  <dataValidations disablePrompts="1" count="1">
    <dataValidation type="list" allowBlank="1" showInputMessage="1" showErrorMessage="1" sqref="D95" xr:uid="{C3A66B37-A000-46E9-91DA-2D81B2687416}">
      <formula1>$A$74:$A$81</formula1>
    </dataValidation>
  </dataValidations>
  <pageMargins left="0.7" right="0.7" top="0.75" bottom="0.75" header="0.3" footer="0.3"/>
  <pageSetup paperSize="9" orientation="portrait" verticalDpi="0" r:id="rId1"/>
  <headerFooter>
    <oddFooter>&amp;L_x000D_&amp;1#&amp;"Calibri"&amp;10&amp;K000000 Intern gebruik</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A9C3D-6C01-4885-8B1D-89CA12E2FFEF}">
  <sheetPr codeName="Blad5"/>
  <dimension ref="A1:S84"/>
  <sheetViews>
    <sheetView showGridLines="0" zoomScaleNormal="100" workbookViewId="0">
      <selection activeCell="C16" sqref="C16:J16"/>
    </sheetView>
  </sheetViews>
  <sheetFormatPr defaultRowHeight="15" x14ac:dyDescent="0.25"/>
  <cols>
    <col min="1" max="1" width="12.7109375" bestFit="1" customWidth="1"/>
    <col min="2" max="2" width="4" bestFit="1" customWidth="1"/>
    <col min="3" max="7" width="6" bestFit="1" customWidth="1"/>
    <col min="8" max="9" width="4.7109375" bestFit="1" customWidth="1"/>
    <col min="10" max="11" width="6" bestFit="1" customWidth="1"/>
    <col min="12" max="12" width="10.42578125" bestFit="1" customWidth="1"/>
    <col min="13" max="13" width="10.5703125" bestFit="1" customWidth="1"/>
    <col min="14" max="14" width="11.5703125" bestFit="1" customWidth="1"/>
    <col min="15" max="19" width="10.42578125" bestFit="1" customWidth="1"/>
  </cols>
  <sheetData>
    <row r="1" spans="1:11" x14ac:dyDescent="0.25">
      <c r="A1" s="116" t="s">
        <v>224</v>
      </c>
      <c r="B1" s="117" t="s">
        <v>225</v>
      </c>
      <c r="C1" s="285" t="s">
        <v>226</v>
      </c>
      <c r="D1" s="286"/>
      <c r="E1" s="286"/>
      <c r="F1" s="286"/>
      <c r="G1" s="286"/>
      <c r="H1" s="286"/>
      <c r="I1" s="286"/>
      <c r="J1" s="287"/>
      <c r="K1" s="118"/>
    </row>
    <row r="2" spans="1:11" x14ac:dyDescent="0.25">
      <c r="A2" s="119" t="s">
        <v>227</v>
      </c>
      <c r="B2" s="291" t="s">
        <v>228</v>
      </c>
      <c r="C2" s="120" t="s">
        <v>229</v>
      </c>
      <c r="D2" s="120" t="s">
        <v>230</v>
      </c>
      <c r="E2" s="120" t="s">
        <v>231</v>
      </c>
      <c r="F2" s="120" t="s">
        <v>232</v>
      </c>
      <c r="G2" s="120" t="s">
        <v>233</v>
      </c>
      <c r="H2" s="120" t="s">
        <v>234</v>
      </c>
      <c r="I2" s="120" t="s">
        <v>235</v>
      </c>
      <c r="J2" s="120" t="s">
        <v>236</v>
      </c>
      <c r="K2" s="293"/>
    </row>
    <row r="3" spans="1:11" x14ac:dyDescent="0.25">
      <c r="A3" s="121"/>
      <c r="B3" s="292"/>
      <c r="C3" s="120" t="s">
        <v>237</v>
      </c>
      <c r="D3" s="120" t="s">
        <v>238</v>
      </c>
      <c r="E3" s="120" t="s">
        <v>11</v>
      </c>
      <c r="F3" s="120" t="s">
        <v>239</v>
      </c>
      <c r="G3" s="120" t="s">
        <v>240</v>
      </c>
      <c r="H3" s="120" t="s">
        <v>241</v>
      </c>
      <c r="I3" s="120" t="s">
        <v>242</v>
      </c>
      <c r="J3" s="120" t="s">
        <v>243</v>
      </c>
      <c r="K3" s="294"/>
    </row>
    <row r="4" spans="1:11" ht="21" customHeight="1" x14ac:dyDescent="0.25">
      <c r="A4" s="122" t="s">
        <v>244</v>
      </c>
      <c r="B4" s="272" t="s">
        <v>245</v>
      </c>
      <c r="C4" s="273"/>
      <c r="D4" s="273"/>
      <c r="E4" s="273"/>
      <c r="F4" s="273"/>
      <c r="G4" s="273"/>
      <c r="H4" s="273"/>
      <c r="I4" s="273"/>
      <c r="J4" s="273"/>
      <c r="K4" s="274"/>
    </row>
    <row r="5" spans="1:11" ht="17.25" customHeight="1" x14ac:dyDescent="0.25">
      <c r="A5" s="123"/>
      <c r="B5" s="275" t="s">
        <v>246</v>
      </c>
      <c r="C5" s="276"/>
      <c r="D5" s="276"/>
      <c r="E5" s="276"/>
      <c r="F5" s="276"/>
      <c r="G5" s="276"/>
      <c r="H5" s="276"/>
      <c r="I5" s="276"/>
      <c r="J5" s="276"/>
      <c r="K5" s="277"/>
    </row>
    <row r="6" spans="1:11" x14ac:dyDescent="0.25">
      <c r="A6" s="124">
        <v>0.375</v>
      </c>
      <c r="B6" s="125">
        <v>670.67010678020176</v>
      </c>
      <c r="C6" s="125">
        <v>729.14423125982046</v>
      </c>
      <c r="D6" s="125">
        <v>481.12465478963895</v>
      </c>
      <c r="E6" s="125">
        <v>307.22043245684404</v>
      </c>
      <c r="F6" s="125">
        <v>309.30229915004077</v>
      </c>
      <c r="G6" s="125">
        <v>486.15072559540761</v>
      </c>
      <c r="H6" s="125">
        <v>734.17030206558911</v>
      </c>
      <c r="I6" s="125">
        <v>908.07452439838403</v>
      </c>
      <c r="J6" s="125">
        <v>905.99265770518707</v>
      </c>
      <c r="K6" s="126"/>
    </row>
    <row r="7" spans="1:11" x14ac:dyDescent="0.25">
      <c r="A7" s="124">
        <v>0.41666666666666669</v>
      </c>
      <c r="B7" s="125">
        <v>832.04329058743622</v>
      </c>
      <c r="C7" s="125">
        <v>947.71594596764226</v>
      </c>
      <c r="D7" s="125">
        <v>717.01174184771514</v>
      </c>
      <c r="E7" s="125">
        <v>505.25170454218846</v>
      </c>
      <c r="F7" s="125">
        <v>436.4819919360076</v>
      </c>
      <c r="G7" s="125">
        <v>550.98696899337301</v>
      </c>
      <c r="H7" s="125">
        <v>781.69117311330012</v>
      </c>
      <c r="I7" s="125">
        <v>993.45121041882669</v>
      </c>
      <c r="J7" s="125">
        <v>1062.2209230250076</v>
      </c>
      <c r="K7" s="126"/>
    </row>
    <row r="8" spans="1:11" x14ac:dyDescent="0.25">
      <c r="A8" s="124">
        <v>0.45833333333333331</v>
      </c>
      <c r="B8" s="125">
        <v>877.41416210734178</v>
      </c>
      <c r="C8" s="125">
        <v>1026.060785368235</v>
      </c>
      <c r="D8" s="125">
        <v>862.30149764270584</v>
      </c>
      <c r="E8" s="125">
        <v>655.99033088558713</v>
      </c>
      <c r="F8" s="125">
        <v>527.98156851418116</v>
      </c>
      <c r="G8" s="125">
        <v>553.26100742306357</v>
      </c>
      <c r="H8" s="125">
        <v>717.02029514859237</v>
      </c>
      <c r="I8" s="125">
        <v>923.33146190571131</v>
      </c>
      <c r="J8" s="125">
        <v>1051.3402242771172</v>
      </c>
      <c r="K8" s="126"/>
    </row>
    <row r="9" spans="1:11" x14ac:dyDescent="0.25">
      <c r="A9" s="124">
        <v>0.5</v>
      </c>
      <c r="B9" s="125">
        <v>914.11856204111336</v>
      </c>
      <c r="C9" s="125">
        <v>1078.0736468740965</v>
      </c>
      <c r="D9" s="125">
        <v>992.86135217510764</v>
      </c>
      <c r="E9" s="125">
        <v>807.6718304804283</v>
      </c>
      <c r="F9" s="125">
        <v>630.98659198941527</v>
      </c>
      <c r="G9" s="125">
        <v>566.30545313897915</v>
      </c>
      <c r="H9" s="125">
        <v>651.51774783796816</v>
      </c>
      <c r="I9" s="125">
        <v>836.70726953264739</v>
      </c>
      <c r="J9" s="125">
        <v>1013.3925080236604</v>
      </c>
      <c r="K9" s="126"/>
    </row>
    <row r="10" spans="1:11" x14ac:dyDescent="0.25">
      <c r="A10" s="124">
        <v>0.54166666666666696</v>
      </c>
      <c r="B10" s="125">
        <v>901.03645382306581</v>
      </c>
      <c r="C10" s="125">
        <v>1056.998691020332</v>
      </c>
      <c r="D10" s="125">
        <v>1061.1181462774291</v>
      </c>
      <c r="E10" s="125">
        <v>918.51523971940753</v>
      </c>
      <c r="F10" s="125">
        <v>712.72481997413331</v>
      </c>
      <c r="G10" s="125">
        <v>564.29612392193587</v>
      </c>
      <c r="H10" s="125">
        <v>560.17666866483864</v>
      </c>
      <c r="I10" s="125">
        <v>702.77957522286033</v>
      </c>
      <c r="J10" s="125">
        <v>908.56999496813467</v>
      </c>
      <c r="K10" s="126"/>
    </row>
    <row r="11" spans="1:11" x14ac:dyDescent="0.25">
      <c r="A11" s="124">
        <v>0.58333333333333337</v>
      </c>
      <c r="B11" s="125">
        <v>823.47492133914693</v>
      </c>
      <c r="C11" s="125">
        <v>1003.6584882715847</v>
      </c>
      <c r="D11" s="125">
        <v>1096.5397386215777</v>
      </c>
      <c r="E11" s="125">
        <v>981.9379811689347</v>
      </c>
      <c r="F11" s="125">
        <v>726.98537115762201</v>
      </c>
      <c r="G11" s="125">
        <v>481.02968976984783</v>
      </c>
      <c r="H11" s="125">
        <v>388.14843941985475</v>
      </c>
      <c r="I11" s="125">
        <v>502.75019687249778</v>
      </c>
      <c r="J11" s="125">
        <v>757.70280688381035</v>
      </c>
      <c r="K11" s="126"/>
    </row>
    <row r="12" spans="1:11" x14ac:dyDescent="0.25">
      <c r="A12" s="124">
        <v>0.625</v>
      </c>
      <c r="B12" s="125">
        <v>819.78982507998001</v>
      </c>
      <c r="C12" s="125">
        <v>904.6498973610901</v>
      </c>
      <c r="D12" s="125">
        <v>1098.2437709189976</v>
      </c>
      <c r="E12" s="125">
        <v>1081.3233415886295</v>
      </c>
      <c r="F12" s="125">
        <v>863.80036739054003</v>
      </c>
      <c r="G12" s="125">
        <v>573.09685648223717</v>
      </c>
      <c r="H12" s="125">
        <v>379.5029829243299</v>
      </c>
      <c r="I12" s="125">
        <v>396.42341225469795</v>
      </c>
      <c r="J12" s="125">
        <v>613.94638645278735</v>
      </c>
      <c r="K12" s="126"/>
    </row>
    <row r="13" spans="1:11" x14ac:dyDescent="0.25">
      <c r="A13" s="124">
        <v>0.66666666666666663</v>
      </c>
      <c r="B13" s="125">
        <v>601.56360474753376</v>
      </c>
      <c r="C13" s="125">
        <v>608.83940444979839</v>
      </c>
      <c r="D13" s="125">
        <v>828.85338814987017</v>
      </c>
      <c r="E13" s="125">
        <v>882.2814639797482</v>
      </c>
      <c r="F13" s="125">
        <v>737.82618972978844</v>
      </c>
      <c r="G13" s="125">
        <v>480.10750589929211</v>
      </c>
      <c r="H13" s="125">
        <v>260.09352219922044</v>
      </c>
      <c r="I13" s="125">
        <v>206.66544636934231</v>
      </c>
      <c r="J13" s="125">
        <v>351.12072061930212</v>
      </c>
      <c r="K13" s="126"/>
    </row>
    <row r="14" spans="1:11" x14ac:dyDescent="0.25">
      <c r="A14" s="124">
        <v>0.70833333333333337</v>
      </c>
      <c r="B14" s="125">
        <v>446.48818054562867</v>
      </c>
      <c r="C14" s="125">
        <v>403.0071605213144</v>
      </c>
      <c r="D14" s="125">
        <v>643.54774914220684</v>
      </c>
      <c r="E14" s="125">
        <v>745.90047698280443</v>
      </c>
      <c r="F14" s="125">
        <v>650.10850421996747</v>
      </c>
      <c r="G14" s="125">
        <v>412.28546933169162</v>
      </c>
      <c r="H14" s="125">
        <v>171.74488071079921</v>
      </c>
      <c r="I14" s="125">
        <v>80.405901271397298</v>
      </c>
      <c r="J14" s="125">
        <v>165.1841256330386</v>
      </c>
      <c r="K14" s="126"/>
    </row>
    <row r="15" spans="1:11" ht="15.75" thickBot="1" x14ac:dyDescent="0.3">
      <c r="A15" s="127">
        <v>0.75</v>
      </c>
      <c r="B15" s="128">
        <v>308.21889730458372</v>
      </c>
      <c r="C15" s="128">
        <v>202.75145754110244</v>
      </c>
      <c r="D15" s="128">
        <v>473.86874274131901</v>
      </c>
      <c r="E15" s="128">
        <v>633.30886093532479</v>
      </c>
      <c r="F15" s="128">
        <v>587.67395327144061</v>
      </c>
      <c r="G15" s="128">
        <v>363.69632974152563</v>
      </c>
      <c r="H15" s="128">
        <v>92.579044541309003</v>
      </c>
      <c r="I15" s="128">
        <v>60.724566990653521</v>
      </c>
      <c r="J15" s="128">
        <v>60.724566990653521</v>
      </c>
      <c r="K15" s="129"/>
    </row>
    <row r="16" spans="1:11" ht="15.75" thickBot="1" x14ac:dyDescent="0.3">
      <c r="A16" s="131"/>
      <c r="B16" s="131"/>
      <c r="C16" s="290"/>
      <c r="D16" s="290"/>
      <c r="E16" s="290"/>
      <c r="F16" s="290"/>
      <c r="G16" s="290"/>
      <c r="H16" s="290"/>
      <c r="I16" s="290"/>
      <c r="J16" s="290"/>
      <c r="K16" s="131"/>
    </row>
    <row r="17" spans="1:11" x14ac:dyDescent="0.25">
      <c r="A17" s="116" t="s">
        <v>224</v>
      </c>
      <c r="B17" s="132"/>
      <c r="C17" s="285" t="s">
        <v>234</v>
      </c>
      <c r="D17" s="286"/>
      <c r="E17" s="286"/>
      <c r="F17" s="286"/>
      <c r="G17" s="286"/>
      <c r="H17" s="286"/>
      <c r="I17" s="286"/>
      <c r="J17" s="287"/>
      <c r="K17" s="133"/>
    </row>
    <row r="18" spans="1:11" x14ac:dyDescent="0.25">
      <c r="A18" s="119" t="s">
        <v>227</v>
      </c>
      <c r="B18" s="281"/>
      <c r="C18" s="120" t="s">
        <v>229</v>
      </c>
      <c r="D18" s="120" t="s">
        <v>230</v>
      </c>
      <c r="E18" s="120" t="s">
        <v>231</v>
      </c>
      <c r="F18" s="120" t="s">
        <v>232</v>
      </c>
      <c r="G18" s="120" t="s">
        <v>233</v>
      </c>
      <c r="H18" s="120" t="s">
        <v>234</v>
      </c>
      <c r="I18" s="120" t="s">
        <v>235</v>
      </c>
      <c r="J18" s="120" t="s">
        <v>236</v>
      </c>
      <c r="K18" s="288"/>
    </row>
    <row r="19" spans="1:11" x14ac:dyDescent="0.25">
      <c r="A19" s="121"/>
      <c r="B19" s="282"/>
      <c r="C19" s="120" t="s">
        <v>237</v>
      </c>
      <c r="D19" s="120" t="s">
        <v>238</v>
      </c>
      <c r="E19" s="120" t="s">
        <v>11</v>
      </c>
      <c r="F19" s="120" t="s">
        <v>239</v>
      </c>
      <c r="G19" s="120" t="s">
        <v>240</v>
      </c>
      <c r="H19" s="120" t="s">
        <v>241</v>
      </c>
      <c r="I19" s="120" t="s">
        <v>242</v>
      </c>
      <c r="J19" s="120" t="s">
        <v>243</v>
      </c>
      <c r="K19" s="289"/>
    </row>
    <row r="20" spans="1:11" ht="21" customHeight="1" x14ac:dyDescent="0.25">
      <c r="A20" s="122" t="s">
        <v>244</v>
      </c>
      <c r="B20" s="272" t="s">
        <v>245</v>
      </c>
      <c r="C20" s="273"/>
      <c r="D20" s="273"/>
      <c r="E20" s="273"/>
      <c r="F20" s="273"/>
      <c r="G20" s="273"/>
      <c r="H20" s="273"/>
      <c r="I20" s="273"/>
      <c r="J20" s="273"/>
      <c r="K20" s="274"/>
    </row>
    <row r="21" spans="1:11" ht="17.25" customHeight="1" x14ac:dyDescent="0.25">
      <c r="A21" s="123"/>
      <c r="B21" s="275" t="s">
        <v>246</v>
      </c>
      <c r="C21" s="276"/>
      <c r="D21" s="276"/>
      <c r="E21" s="276"/>
      <c r="F21" s="276"/>
      <c r="G21" s="276"/>
      <c r="H21" s="276"/>
      <c r="I21" s="276"/>
      <c r="J21" s="276"/>
      <c r="K21" s="277"/>
    </row>
    <row r="22" spans="1:11" x14ac:dyDescent="0.25">
      <c r="A22" s="124">
        <v>0.375</v>
      </c>
      <c r="B22" s="134"/>
      <c r="C22" s="125">
        <v>694.12348902524195</v>
      </c>
      <c r="D22" s="125">
        <v>343.37084024708031</v>
      </c>
      <c r="E22" s="125">
        <v>97.433130470095591</v>
      </c>
      <c r="F22" s="125">
        <v>100.37733458266737</v>
      </c>
      <c r="G22" s="125">
        <v>350.47877774604575</v>
      </c>
      <c r="H22" s="125">
        <v>701.23142652420745</v>
      </c>
      <c r="I22" s="125">
        <v>947.169136301192</v>
      </c>
      <c r="J22" s="125">
        <v>944.2249321886203</v>
      </c>
      <c r="K22" s="135"/>
    </row>
    <row r="23" spans="1:11" x14ac:dyDescent="0.25">
      <c r="A23" s="124">
        <v>0.41666666666666669</v>
      </c>
      <c r="B23" s="134"/>
      <c r="C23" s="125">
        <v>921.00035931143088</v>
      </c>
      <c r="D23" s="125">
        <v>594.73534494853891</v>
      </c>
      <c r="E23" s="125">
        <v>295.2614282224306</v>
      </c>
      <c r="F23" s="125">
        <v>198.00636797426955</v>
      </c>
      <c r="G23" s="125">
        <v>359.94085948801586</v>
      </c>
      <c r="H23" s="125">
        <v>686.20587385090778</v>
      </c>
      <c r="I23" s="125">
        <v>985.67979057701575</v>
      </c>
      <c r="J23" s="125">
        <v>1082.9348508251769</v>
      </c>
      <c r="K23" s="135"/>
    </row>
    <row r="24" spans="1:11" x14ac:dyDescent="0.25">
      <c r="A24" s="124">
        <v>0.45833333333333331</v>
      </c>
      <c r="B24" s="134"/>
      <c r="C24" s="125">
        <v>1007.9491467846855</v>
      </c>
      <c r="D24" s="125">
        <v>776.35854111868457</v>
      </c>
      <c r="E24" s="125">
        <v>484.59049102174981</v>
      </c>
      <c r="F24" s="125">
        <v>303.55876317351317</v>
      </c>
      <c r="G24" s="125">
        <v>339.30928852763645</v>
      </c>
      <c r="H24" s="125">
        <v>570.89989419363746</v>
      </c>
      <c r="I24" s="125">
        <v>862.667944290572</v>
      </c>
      <c r="J24" s="125">
        <v>1043.6996721388089</v>
      </c>
      <c r="K24" s="135"/>
    </row>
    <row r="25" spans="1:11" x14ac:dyDescent="0.25">
      <c r="A25" s="124">
        <v>0.5</v>
      </c>
      <c r="B25" s="134"/>
      <c r="C25" s="125">
        <v>1062.8290813853423</v>
      </c>
      <c r="D25" s="125">
        <v>942.3206985410992</v>
      </c>
      <c r="E25" s="125">
        <v>680.4231653510974</v>
      </c>
      <c r="F25" s="125">
        <v>430.55250480598198</v>
      </c>
      <c r="G25" s="125">
        <v>339.0795610139578</v>
      </c>
      <c r="H25" s="125">
        <v>459.58794385820084</v>
      </c>
      <c r="I25" s="125">
        <v>721.48547704820271</v>
      </c>
      <c r="J25" s="125">
        <v>971.35613759331818</v>
      </c>
      <c r="K25" s="135"/>
    </row>
    <row r="26" spans="1:11" x14ac:dyDescent="0.25">
      <c r="A26" s="124">
        <v>0.54166666666666696</v>
      </c>
      <c r="B26" s="134"/>
      <c r="C26" s="125">
        <v>1039.7293357521598</v>
      </c>
      <c r="D26" s="125">
        <v>1045.5551252463356</v>
      </c>
      <c r="E26" s="125">
        <v>843.8841607581586</v>
      </c>
      <c r="F26" s="125">
        <v>552.85255814793959</v>
      </c>
      <c r="G26" s="125">
        <v>342.9426831455682</v>
      </c>
      <c r="H26" s="125">
        <v>337.11689365139233</v>
      </c>
      <c r="I26" s="125">
        <v>538.78785813956961</v>
      </c>
      <c r="J26" s="125">
        <v>829.8194607497885</v>
      </c>
      <c r="K26" s="135"/>
    </row>
    <row r="27" spans="1:11" x14ac:dyDescent="0.25">
      <c r="A27" s="124">
        <v>0.58333333333333337</v>
      </c>
      <c r="B27" s="134"/>
      <c r="C27" s="125">
        <v>1004.7618775370948</v>
      </c>
      <c r="D27" s="125">
        <v>1136.1158014722259</v>
      </c>
      <c r="E27" s="125">
        <v>974.04444181090628</v>
      </c>
      <c r="F27" s="125">
        <v>613.48700297048924</v>
      </c>
      <c r="G27" s="125">
        <v>265.65314260918319</v>
      </c>
      <c r="H27" s="125">
        <v>134.29921867405218</v>
      </c>
      <c r="I27" s="125">
        <v>296.37057833537187</v>
      </c>
      <c r="J27" s="125">
        <v>656.92801717578914</v>
      </c>
      <c r="K27" s="135"/>
    </row>
    <row r="28" spans="1:11" x14ac:dyDescent="0.25">
      <c r="A28" s="124">
        <v>0.625</v>
      </c>
      <c r="B28" s="134"/>
      <c r="C28" s="125">
        <v>866.64192149134908</v>
      </c>
      <c r="D28" s="125">
        <v>1140.4250030692838</v>
      </c>
      <c r="E28" s="125">
        <v>1116.4959024291018</v>
      </c>
      <c r="F28" s="125">
        <v>808.87196219043085</v>
      </c>
      <c r="G28" s="125">
        <v>397.75511443443384</v>
      </c>
      <c r="H28" s="125">
        <v>123.97203285649937</v>
      </c>
      <c r="I28" s="125">
        <v>147.90113349668138</v>
      </c>
      <c r="J28" s="125">
        <v>455.52507373535241</v>
      </c>
      <c r="K28" s="135"/>
    </row>
    <row r="29" spans="1:11" x14ac:dyDescent="0.25">
      <c r="A29" s="124">
        <v>0.66666666666666663</v>
      </c>
      <c r="B29" s="134"/>
      <c r="C29" s="125">
        <v>559.34839735896924</v>
      </c>
      <c r="D29" s="125">
        <v>870.49515701934365</v>
      </c>
      <c r="E29" s="125">
        <v>946.05386646945556</v>
      </c>
      <c r="F29" s="125">
        <v>741.76325846883731</v>
      </c>
      <c r="G29" s="125">
        <v>377.29400051880577</v>
      </c>
      <c r="H29" s="125">
        <v>90.673938668796524</v>
      </c>
      <c r="I29" s="125">
        <v>90.673938668796524</v>
      </c>
      <c r="J29" s="125">
        <v>194.8791394089377</v>
      </c>
      <c r="K29" s="126"/>
    </row>
    <row r="30" spans="1:11" x14ac:dyDescent="0.25">
      <c r="A30" s="124">
        <v>0.70833333333333337</v>
      </c>
      <c r="B30" s="134"/>
      <c r="C30" s="125">
        <v>346.98536246807373</v>
      </c>
      <c r="D30" s="125">
        <v>687.16112519694707</v>
      </c>
      <c r="E30" s="125">
        <v>831.90974105500254</v>
      </c>
      <c r="F30" s="125">
        <v>696.43943400732439</v>
      </c>
      <c r="G30" s="125">
        <v>360.10687262359494</v>
      </c>
      <c r="H30" s="125">
        <v>86.355438655065726</v>
      </c>
      <c r="I30" s="125">
        <v>86.355438655065726</v>
      </c>
      <c r="J30" s="125">
        <v>86.355438655065726</v>
      </c>
      <c r="K30" s="126"/>
    </row>
    <row r="31" spans="1:11" ht="15.75" thickBot="1" x14ac:dyDescent="0.3">
      <c r="A31" s="127">
        <v>0.75</v>
      </c>
      <c r="B31" s="136"/>
      <c r="C31" s="128">
        <v>133.02853641634343</v>
      </c>
      <c r="D31" s="128">
        <v>516.44627814026421</v>
      </c>
      <c r="E31" s="128">
        <v>741.92865567659646</v>
      </c>
      <c r="F31" s="128">
        <v>677.39115034068743</v>
      </c>
      <c r="G31" s="128">
        <v>360.63895747658637</v>
      </c>
      <c r="H31" s="128">
        <v>65.163807477479338</v>
      </c>
      <c r="I31" s="128">
        <v>65.163807477479338</v>
      </c>
      <c r="J31" s="128">
        <v>65.163807477479338</v>
      </c>
      <c r="K31" s="129"/>
    </row>
    <row r="32" spans="1:11" ht="15.75" thickBot="1" x14ac:dyDescent="0.3"/>
    <row r="33" spans="1:19" x14ac:dyDescent="0.25">
      <c r="A33" s="116" t="s">
        <v>224</v>
      </c>
      <c r="B33" s="132"/>
      <c r="C33" s="285" t="s">
        <v>247</v>
      </c>
      <c r="D33" s="286"/>
      <c r="E33" s="286"/>
      <c r="F33" s="286"/>
      <c r="G33" s="286"/>
      <c r="H33" s="286"/>
      <c r="I33" s="286"/>
      <c r="J33" s="287"/>
      <c r="K33" s="133"/>
    </row>
    <row r="34" spans="1:19" x14ac:dyDescent="0.25">
      <c r="A34" s="119" t="s">
        <v>227</v>
      </c>
      <c r="B34" s="281"/>
      <c r="C34" s="137" t="s">
        <v>229</v>
      </c>
      <c r="D34" s="137" t="s">
        <v>230</v>
      </c>
      <c r="E34" s="120" t="s">
        <v>231</v>
      </c>
      <c r="F34" s="120" t="s">
        <v>232</v>
      </c>
      <c r="G34" s="120" t="s">
        <v>233</v>
      </c>
      <c r="H34" s="120" t="s">
        <v>234</v>
      </c>
      <c r="I34" s="120" t="s">
        <v>235</v>
      </c>
      <c r="J34" s="120" t="s">
        <v>236</v>
      </c>
      <c r="K34" s="288"/>
      <c r="L34" s="138"/>
      <c r="M34" s="138"/>
      <c r="N34" s="138"/>
      <c r="O34" s="138"/>
      <c r="P34" s="138"/>
      <c r="Q34" s="138"/>
      <c r="R34" s="138"/>
      <c r="S34" s="138"/>
    </row>
    <row r="35" spans="1:19" x14ac:dyDescent="0.25">
      <c r="A35" s="121"/>
      <c r="B35" s="282"/>
      <c r="C35" s="137" t="s">
        <v>237</v>
      </c>
      <c r="D35" s="137" t="s">
        <v>238</v>
      </c>
      <c r="E35" s="120" t="s">
        <v>11</v>
      </c>
      <c r="F35" s="120" t="s">
        <v>239</v>
      </c>
      <c r="G35" s="120" t="s">
        <v>240</v>
      </c>
      <c r="H35" s="120" t="s">
        <v>241</v>
      </c>
      <c r="I35" s="120" t="s">
        <v>242</v>
      </c>
      <c r="J35" s="120" t="s">
        <v>243</v>
      </c>
      <c r="K35" s="289"/>
      <c r="L35" s="130"/>
      <c r="M35" s="130"/>
      <c r="N35" s="130"/>
      <c r="O35" s="130"/>
      <c r="P35" s="130"/>
      <c r="Q35" s="130"/>
      <c r="R35" s="130"/>
      <c r="S35" s="130"/>
    </row>
    <row r="36" spans="1:19" ht="21" customHeight="1" x14ac:dyDescent="0.25">
      <c r="A36" s="122" t="s">
        <v>244</v>
      </c>
      <c r="B36" s="272" t="s">
        <v>245</v>
      </c>
      <c r="C36" s="273"/>
      <c r="D36" s="273"/>
      <c r="E36" s="273"/>
      <c r="F36" s="273"/>
      <c r="G36" s="273"/>
      <c r="H36" s="273"/>
      <c r="I36" s="273"/>
      <c r="J36" s="273"/>
      <c r="K36" s="274"/>
    </row>
    <row r="37" spans="1:19" ht="17.25" customHeight="1" x14ac:dyDescent="0.25">
      <c r="A37" s="123"/>
      <c r="B37" s="275" t="s">
        <v>246</v>
      </c>
      <c r="C37" s="276"/>
      <c r="D37" s="276"/>
      <c r="E37" s="276"/>
      <c r="F37" s="276"/>
      <c r="G37" s="276"/>
      <c r="H37" s="276"/>
      <c r="I37" s="276"/>
      <c r="J37" s="276"/>
      <c r="K37" s="277"/>
    </row>
    <row r="38" spans="1:19" x14ac:dyDescent="0.25">
      <c r="A38" s="124">
        <v>0.375</v>
      </c>
      <c r="B38" s="134"/>
      <c r="C38" s="125">
        <v>618.46909834398207</v>
      </c>
      <c r="D38" s="125">
        <v>188.88659062591316</v>
      </c>
      <c r="E38" s="125">
        <v>103.49909401326977</v>
      </c>
      <c r="F38" s="125">
        <v>103.49909401326977</v>
      </c>
      <c r="G38" s="125">
        <v>197.59200062394308</v>
      </c>
      <c r="H38" s="125">
        <v>627.1745083420119</v>
      </c>
      <c r="I38" s="125">
        <v>928.38545707316689</v>
      </c>
      <c r="J38" s="125">
        <v>924.77955818596456</v>
      </c>
      <c r="K38" s="139"/>
    </row>
    <row r="39" spans="1:19" x14ac:dyDescent="0.25">
      <c r="A39" s="124">
        <v>0.41666666666666669</v>
      </c>
      <c r="B39" s="134"/>
      <c r="C39" s="125">
        <v>839.04820955000014</v>
      </c>
      <c r="D39" s="125">
        <v>439.45680649454522</v>
      </c>
      <c r="E39" s="125">
        <v>106.71106830857451</v>
      </c>
      <c r="F39" s="125">
        <v>106.71106830857451</v>
      </c>
      <c r="G39" s="125">
        <v>151.89346459574253</v>
      </c>
      <c r="H39" s="125">
        <v>551.48486765119765</v>
      </c>
      <c r="I39" s="125">
        <v>918.26401127705049</v>
      </c>
      <c r="J39" s="125">
        <v>1037.3766475328657</v>
      </c>
      <c r="K39" s="139"/>
    </row>
    <row r="40" spans="1:19" x14ac:dyDescent="0.25">
      <c r="A40" s="124">
        <v>0.45833333333333331</v>
      </c>
      <c r="B40" s="134"/>
      <c r="C40" s="125">
        <v>928.43709548324614</v>
      </c>
      <c r="D40" s="125">
        <v>644.79768893133962</v>
      </c>
      <c r="E40" s="125">
        <v>287.45626593919468</v>
      </c>
      <c r="F40" s="125">
        <v>99.499443926587873</v>
      </c>
      <c r="G40" s="125">
        <v>109.52385827492635</v>
      </c>
      <c r="H40" s="125">
        <v>393.16326482683291</v>
      </c>
      <c r="I40" s="125">
        <v>750.5046878189778</v>
      </c>
      <c r="J40" s="125">
        <v>972.22236806026365</v>
      </c>
      <c r="K40" s="139"/>
    </row>
    <row r="41" spans="1:19" x14ac:dyDescent="0.25">
      <c r="A41" s="124">
        <v>0.5</v>
      </c>
      <c r="B41" s="134"/>
      <c r="C41" s="125">
        <v>982.65645358094446</v>
      </c>
      <c r="D41" s="125">
        <v>835.06442973276364</v>
      </c>
      <c r="E41" s="125">
        <v>514.30676912820024</v>
      </c>
      <c r="F41" s="125">
        <v>208.27895911434152</v>
      </c>
      <c r="G41" s="125">
        <v>101.06418656526259</v>
      </c>
      <c r="H41" s="125">
        <v>243.83996418214969</v>
      </c>
      <c r="I41" s="125">
        <v>564.59762478671303</v>
      </c>
      <c r="J41" s="125">
        <v>870.62543480057161</v>
      </c>
      <c r="K41" s="139"/>
    </row>
    <row r="42" spans="1:19" x14ac:dyDescent="0.25">
      <c r="A42" s="124">
        <v>0.54166666666666696</v>
      </c>
      <c r="B42" s="134"/>
      <c r="C42" s="125">
        <v>959.06194403413951</v>
      </c>
      <c r="D42" s="125">
        <v>966.19704983893848</v>
      </c>
      <c r="E42" s="125">
        <v>719.20157037344802</v>
      </c>
      <c r="F42" s="125">
        <v>362.76210766370741</v>
      </c>
      <c r="G42" s="125">
        <v>105.67606480010329</v>
      </c>
      <c r="H42" s="125">
        <v>101.18191418081921</v>
      </c>
      <c r="I42" s="125">
        <v>345.5364384607949</v>
      </c>
      <c r="J42" s="125">
        <v>701.97590117053574</v>
      </c>
      <c r="K42" s="139"/>
    </row>
    <row r="43" spans="1:19" x14ac:dyDescent="0.25">
      <c r="A43" s="124">
        <v>0.58333333333333337</v>
      </c>
      <c r="B43" s="134"/>
      <c r="C43" s="125">
        <v>945.05985718807608</v>
      </c>
      <c r="D43" s="125">
        <v>1105.9349018647886</v>
      </c>
      <c r="E43" s="125">
        <v>907.4388353201258</v>
      </c>
      <c r="F43" s="125">
        <v>465.84796125823829</v>
      </c>
      <c r="G43" s="125">
        <v>110.87628146584561</v>
      </c>
      <c r="H43" s="125">
        <v>110.87628146584561</v>
      </c>
      <c r="I43" s="125">
        <v>110.87628146584561</v>
      </c>
      <c r="J43" s="125">
        <v>519.05212061422844</v>
      </c>
      <c r="K43" s="139"/>
    </row>
    <row r="44" spans="1:19" x14ac:dyDescent="0.25">
      <c r="A44" s="124">
        <v>0.625</v>
      </c>
      <c r="B44" s="134"/>
      <c r="C44" s="125">
        <v>777.23577291807374</v>
      </c>
      <c r="D44" s="125">
        <v>1112.5501979544345</v>
      </c>
      <c r="E44" s="125">
        <v>1083.2431546683583</v>
      </c>
      <c r="F44" s="125">
        <v>706.48231154377333</v>
      </c>
      <c r="G44" s="125">
        <v>202.96906071193939</v>
      </c>
      <c r="H44" s="125">
        <v>110.66033181779692</v>
      </c>
      <c r="I44" s="125">
        <v>110.66033181779692</v>
      </c>
      <c r="J44" s="125">
        <v>273.72252208623991</v>
      </c>
      <c r="K44" s="139"/>
    </row>
    <row r="45" spans="1:19" x14ac:dyDescent="0.25">
      <c r="A45" s="124">
        <v>0.66666666666666663</v>
      </c>
      <c r="B45" s="134"/>
      <c r="C45" s="125">
        <v>478.13793460620178</v>
      </c>
      <c r="D45" s="125">
        <v>859.2133327503567</v>
      </c>
      <c r="E45" s="125">
        <v>951.75347463834839</v>
      </c>
      <c r="F45" s="125">
        <v>701.5496002161218</v>
      </c>
      <c r="G45" s="125">
        <v>255.16774576192242</v>
      </c>
      <c r="H45" s="125">
        <v>99.615901550559727</v>
      </c>
      <c r="I45" s="125">
        <v>99.615901550559727</v>
      </c>
      <c r="J45" s="125">
        <v>99.615901550559727</v>
      </c>
      <c r="K45" s="139"/>
    </row>
    <row r="46" spans="1:19" x14ac:dyDescent="0.25">
      <c r="A46" s="124">
        <v>0.70833333333333337</v>
      </c>
      <c r="B46" s="134"/>
      <c r="C46" s="125">
        <v>272.69811756380591</v>
      </c>
      <c r="D46" s="125">
        <v>689.32663833771562</v>
      </c>
      <c r="E46" s="125">
        <v>866.60676325090049</v>
      </c>
      <c r="F46" s="140">
        <v>700.69019946841263</v>
      </c>
      <c r="G46" s="125">
        <v>288.76861983169306</v>
      </c>
      <c r="H46" s="125">
        <v>91.801027784249698</v>
      </c>
      <c r="I46" s="125">
        <v>91.801027784249698</v>
      </c>
      <c r="J46" s="125">
        <v>91.801027784249698</v>
      </c>
      <c r="K46" s="139"/>
    </row>
    <row r="47" spans="1:19" ht="15.75" thickBot="1" x14ac:dyDescent="0.3">
      <c r="A47" s="127">
        <v>0.75</v>
      </c>
      <c r="B47" s="136"/>
      <c r="C47" s="128">
        <v>69.010667416373238</v>
      </c>
      <c r="D47" s="128">
        <v>527.67727839515294</v>
      </c>
      <c r="E47" s="128">
        <v>803.8356638719581</v>
      </c>
      <c r="F47" s="128">
        <v>724.79368519939624</v>
      </c>
      <c r="G47" s="128">
        <v>336.85306148704888</v>
      </c>
      <c r="H47" s="128">
        <v>69.010667416373238</v>
      </c>
      <c r="I47" s="128">
        <v>69.010667416373238</v>
      </c>
      <c r="J47" s="128">
        <v>69.010667416373238</v>
      </c>
      <c r="K47" s="141"/>
    </row>
    <row r="48" spans="1:19" ht="15.75" thickBot="1" x14ac:dyDescent="0.3"/>
    <row r="49" spans="1:11" x14ac:dyDescent="0.25">
      <c r="A49" s="116" t="s">
        <v>224</v>
      </c>
      <c r="B49" s="132"/>
      <c r="C49" s="285" t="s">
        <v>235</v>
      </c>
      <c r="D49" s="286"/>
      <c r="E49" s="286"/>
      <c r="F49" s="286"/>
      <c r="G49" s="286"/>
      <c r="H49" s="286"/>
      <c r="I49" s="286"/>
      <c r="J49" s="287"/>
      <c r="K49" s="142"/>
    </row>
    <row r="50" spans="1:11" x14ac:dyDescent="0.25">
      <c r="A50" s="119" t="s">
        <v>227</v>
      </c>
      <c r="B50" s="281"/>
      <c r="C50" s="120" t="s">
        <v>229</v>
      </c>
      <c r="D50" s="120" t="s">
        <v>230</v>
      </c>
      <c r="E50" s="120" t="s">
        <v>231</v>
      </c>
      <c r="F50" s="120" t="s">
        <v>232</v>
      </c>
      <c r="G50" s="120" t="s">
        <v>233</v>
      </c>
      <c r="H50" s="120" t="s">
        <v>234</v>
      </c>
      <c r="I50" s="120" t="s">
        <v>235</v>
      </c>
      <c r="J50" s="120" t="s">
        <v>236</v>
      </c>
      <c r="K50" s="283"/>
    </row>
    <row r="51" spans="1:11" x14ac:dyDescent="0.25">
      <c r="A51" s="121"/>
      <c r="B51" s="282"/>
      <c r="C51" s="120" t="s">
        <v>237</v>
      </c>
      <c r="D51" s="120" t="s">
        <v>238</v>
      </c>
      <c r="E51" s="120" t="s">
        <v>11</v>
      </c>
      <c r="F51" s="120" t="s">
        <v>239</v>
      </c>
      <c r="G51" s="120" t="s">
        <v>240</v>
      </c>
      <c r="H51" s="120" t="s">
        <v>241</v>
      </c>
      <c r="I51" s="120" t="s">
        <v>242</v>
      </c>
      <c r="J51" s="120" t="s">
        <v>243</v>
      </c>
      <c r="K51" s="284"/>
    </row>
    <row r="52" spans="1:11" ht="21" customHeight="1" x14ac:dyDescent="0.25">
      <c r="A52" s="122" t="s">
        <v>244</v>
      </c>
      <c r="B52" s="272" t="s">
        <v>245</v>
      </c>
      <c r="C52" s="273"/>
      <c r="D52" s="273"/>
      <c r="E52" s="273"/>
      <c r="F52" s="273"/>
      <c r="G52" s="273"/>
      <c r="H52" s="273"/>
      <c r="I52" s="273"/>
      <c r="J52" s="273"/>
      <c r="K52" s="274"/>
    </row>
    <row r="53" spans="1:11" ht="17.25" customHeight="1" x14ac:dyDescent="0.25">
      <c r="A53" s="123"/>
      <c r="B53" s="275" t="s">
        <v>246</v>
      </c>
      <c r="C53" s="276"/>
      <c r="D53" s="276"/>
      <c r="E53" s="276"/>
      <c r="F53" s="276"/>
      <c r="G53" s="276"/>
      <c r="H53" s="276"/>
      <c r="I53" s="276"/>
      <c r="J53" s="276"/>
      <c r="K53" s="277"/>
    </row>
    <row r="54" spans="1:11" x14ac:dyDescent="0.25">
      <c r="A54" s="124">
        <v>0.375</v>
      </c>
      <c r="B54" s="134"/>
      <c r="C54" s="125">
        <v>368.3000205196924</v>
      </c>
      <c r="D54" s="125">
        <v>125.30651485527932</v>
      </c>
      <c r="E54" s="125">
        <v>125.30651485527932</v>
      </c>
      <c r="F54" s="125">
        <v>125.30651485527932</v>
      </c>
      <c r="G54" s="125">
        <v>125.30651485527932</v>
      </c>
      <c r="H54" s="125">
        <v>378.35216213122953</v>
      </c>
      <c r="I54" s="125">
        <v>726.16060679681959</v>
      </c>
      <c r="J54" s="125">
        <v>721.99687341042568</v>
      </c>
      <c r="K54" s="143"/>
    </row>
    <row r="55" spans="1:11" x14ac:dyDescent="0.25">
      <c r="A55" s="124">
        <v>0.41666666666666669</v>
      </c>
      <c r="B55" s="134"/>
      <c r="C55" s="125">
        <v>535.15751355093516</v>
      </c>
      <c r="D55" s="125">
        <v>138.428536576666</v>
      </c>
      <c r="E55" s="125">
        <v>138.428536576666</v>
      </c>
      <c r="F55" s="125">
        <v>138.428536576666</v>
      </c>
      <c r="G55" s="125">
        <v>138.428536576666</v>
      </c>
      <c r="H55" s="125">
        <v>203.10796784225118</v>
      </c>
      <c r="I55" s="125">
        <v>626.62804245330426</v>
      </c>
      <c r="J55" s="125">
        <v>764.16746766566621</v>
      </c>
      <c r="K55" s="143"/>
    </row>
    <row r="56" spans="1:11" x14ac:dyDescent="0.25">
      <c r="A56" s="124">
        <v>0.45833333333333331</v>
      </c>
      <c r="B56" s="134"/>
      <c r="C56" s="125">
        <v>610.70128131920501</v>
      </c>
      <c r="D56" s="125">
        <v>283.18270586814708</v>
      </c>
      <c r="E56" s="125">
        <v>137.90150337403352</v>
      </c>
      <c r="F56" s="125">
        <v>137.90150337403352</v>
      </c>
      <c r="G56" s="125">
        <v>137.90150337403352</v>
      </c>
      <c r="H56" s="125">
        <v>137.90150337403352</v>
      </c>
      <c r="I56" s="125">
        <v>405.24263439415779</v>
      </c>
      <c r="J56" s="125">
        <v>661.26015913696926</v>
      </c>
      <c r="K56" s="143"/>
    </row>
    <row r="57" spans="1:11" x14ac:dyDescent="0.25">
      <c r="A57" s="124">
        <v>0.5</v>
      </c>
      <c r="B57" s="134"/>
      <c r="C57" s="125">
        <v>653.43394204860169</v>
      </c>
      <c r="D57" s="125">
        <v>483.0093526506239</v>
      </c>
      <c r="E57" s="125">
        <v>141.66574831348413</v>
      </c>
      <c r="F57" s="125">
        <v>141.66574831348413</v>
      </c>
      <c r="G57" s="125">
        <v>141.66574831348413</v>
      </c>
      <c r="H57" s="125">
        <v>141.66574831348413</v>
      </c>
      <c r="I57" s="125">
        <v>170.70118736570316</v>
      </c>
      <c r="J57" s="125">
        <v>524.07166434772921</v>
      </c>
      <c r="K57" s="143"/>
    </row>
    <row r="58" spans="1:11" x14ac:dyDescent="0.25">
      <c r="A58" s="124">
        <v>0.54166666666666696</v>
      </c>
      <c r="B58" s="134"/>
      <c r="C58" s="125">
        <v>633.46828512876982</v>
      </c>
      <c r="D58" s="125">
        <v>641.70719564296405</v>
      </c>
      <c r="E58" s="125">
        <v>356.50138252692091</v>
      </c>
      <c r="F58" s="125">
        <v>140.76571803037345</v>
      </c>
      <c r="G58" s="125">
        <v>140.76571803037345</v>
      </c>
      <c r="H58" s="125">
        <v>140.76571803037345</v>
      </c>
      <c r="I58" s="125">
        <v>140.76571803037345</v>
      </c>
      <c r="J58" s="125">
        <v>336.61089302437495</v>
      </c>
      <c r="K58" s="143"/>
    </row>
    <row r="59" spans="1:11" x14ac:dyDescent="0.25">
      <c r="A59" s="124">
        <v>0.58333333333333337</v>
      </c>
      <c r="B59" s="134"/>
      <c r="C59" s="125">
        <v>663.38048396501642</v>
      </c>
      <c r="D59" s="125">
        <v>849.1429846650027</v>
      </c>
      <c r="E59" s="125">
        <v>619.93946975971653</v>
      </c>
      <c r="F59" s="125">
        <v>140.75168546327944</v>
      </c>
      <c r="G59" s="125">
        <v>140.75168546327944</v>
      </c>
      <c r="H59" s="125">
        <v>140.75168546327944</v>
      </c>
      <c r="I59" s="125">
        <v>140.75168546327944</v>
      </c>
      <c r="J59" s="125">
        <v>171.46912118946813</v>
      </c>
      <c r="K59" s="143"/>
    </row>
    <row r="60" spans="1:11" x14ac:dyDescent="0.25">
      <c r="A60" s="124">
        <v>0.625</v>
      </c>
      <c r="B60" s="134"/>
      <c r="C60" s="125">
        <v>471.68796349975548</v>
      </c>
      <c r="D60" s="125">
        <v>858.87571061557014</v>
      </c>
      <c r="E60" s="125">
        <v>825.03485195483404</v>
      </c>
      <c r="F60" s="125">
        <v>389.98890355865501</v>
      </c>
      <c r="G60" s="125">
        <v>140.13492262090233</v>
      </c>
      <c r="H60" s="125">
        <v>140.13492262090233</v>
      </c>
      <c r="I60" s="125">
        <v>140.13492262090233</v>
      </c>
      <c r="J60" s="125">
        <v>140.13492262090233</v>
      </c>
      <c r="K60" s="143"/>
    </row>
    <row r="61" spans="1:11" x14ac:dyDescent="0.25">
      <c r="A61" s="124">
        <v>0.66666666666666663</v>
      </c>
      <c r="B61" s="134"/>
      <c r="C61" s="125">
        <v>244.4805485108962</v>
      </c>
      <c r="D61" s="125">
        <v>684.50851591103958</v>
      </c>
      <c r="E61" s="144">
        <v>791.36466757079575</v>
      </c>
      <c r="F61" s="125">
        <v>502.45411907087623</v>
      </c>
      <c r="G61" s="125">
        <v>115.74864996038983</v>
      </c>
      <c r="H61" s="125">
        <v>115.74864996038983</v>
      </c>
      <c r="I61" s="125">
        <v>115.74864996038983</v>
      </c>
      <c r="J61" s="125">
        <v>115.74864996038983</v>
      </c>
      <c r="K61" s="143"/>
    </row>
    <row r="62" spans="1:11" x14ac:dyDescent="0.25">
      <c r="A62" s="124">
        <v>0.70833333333333337</v>
      </c>
      <c r="B62" s="134"/>
      <c r="C62" s="125">
        <v>99.755563310417017</v>
      </c>
      <c r="D62" s="125">
        <v>571.55843174182473</v>
      </c>
      <c r="E62" s="125">
        <v>776.26388742301992</v>
      </c>
      <c r="F62" s="125">
        <v>584.679941897346</v>
      </c>
      <c r="G62" s="125">
        <v>109.03387212079417</v>
      </c>
      <c r="H62" s="125">
        <v>99.755563310417017</v>
      </c>
      <c r="I62" s="125">
        <v>99.755563310417017</v>
      </c>
      <c r="J62" s="125">
        <v>99.755563310417017</v>
      </c>
      <c r="K62" s="143"/>
    </row>
    <row r="63" spans="1:11" ht="15.75" thickBot="1" x14ac:dyDescent="0.3">
      <c r="A63" s="127">
        <v>0.75</v>
      </c>
      <c r="B63" s="136"/>
      <c r="C63" s="128">
        <v>73.936852391729431</v>
      </c>
      <c r="D63" s="128">
        <v>455.22655059173945</v>
      </c>
      <c r="E63" s="128">
        <v>774.10678697975118</v>
      </c>
      <c r="F63" s="128">
        <v>682.83697165198259</v>
      </c>
      <c r="G63" s="128">
        <v>234.88172459215258</v>
      </c>
      <c r="H63" s="128">
        <v>73.936852391729431</v>
      </c>
      <c r="I63" s="128">
        <v>73.936852391729431</v>
      </c>
      <c r="J63" s="128">
        <v>73.936852391729431</v>
      </c>
      <c r="K63" s="145"/>
    </row>
    <row r="64" spans="1:11" ht="15.75" thickBot="1" x14ac:dyDescent="0.3"/>
    <row r="65" spans="1:11" x14ac:dyDescent="0.25">
      <c r="A65" s="116" t="s">
        <v>224</v>
      </c>
      <c r="B65" s="146"/>
      <c r="C65" s="278" t="s">
        <v>236</v>
      </c>
      <c r="D65" s="278"/>
      <c r="E65" s="278"/>
      <c r="F65" s="278"/>
      <c r="G65" s="278"/>
      <c r="H65" s="278"/>
      <c r="I65" s="278"/>
      <c r="J65" s="278"/>
      <c r="K65" s="147" t="s">
        <v>229</v>
      </c>
    </row>
    <row r="66" spans="1:11" x14ac:dyDescent="0.25">
      <c r="A66" s="148" t="s">
        <v>227</v>
      </c>
      <c r="B66" s="269"/>
      <c r="C66" s="120" t="s">
        <v>229</v>
      </c>
      <c r="D66" s="120" t="s">
        <v>230</v>
      </c>
      <c r="E66" s="120" t="s">
        <v>231</v>
      </c>
      <c r="F66" s="120" t="s">
        <v>232</v>
      </c>
      <c r="G66" s="120" t="s">
        <v>233</v>
      </c>
      <c r="H66" s="120" t="s">
        <v>234</v>
      </c>
      <c r="I66" s="120" t="s">
        <v>235</v>
      </c>
      <c r="J66" s="120" t="s">
        <v>236</v>
      </c>
      <c r="K66" s="270" t="s">
        <v>228</v>
      </c>
    </row>
    <row r="67" spans="1:11" x14ac:dyDescent="0.25">
      <c r="A67" s="148"/>
      <c r="B67" s="269"/>
      <c r="C67" s="120" t="s">
        <v>237</v>
      </c>
      <c r="D67" s="120" t="s">
        <v>238</v>
      </c>
      <c r="E67" s="120" t="s">
        <v>11</v>
      </c>
      <c r="F67" s="120" t="s">
        <v>239</v>
      </c>
      <c r="G67" s="120" t="s">
        <v>240</v>
      </c>
      <c r="H67" s="120" t="s">
        <v>241</v>
      </c>
      <c r="I67" s="120" t="s">
        <v>242</v>
      </c>
      <c r="J67" s="120" t="s">
        <v>243</v>
      </c>
      <c r="K67" s="270"/>
    </row>
    <row r="68" spans="1:11" ht="21" customHeight="1" x14ac:dyDescent="0.25">
      <c r="A68" s="149" t="s">
        <v>244</v>
      </c>
      <c r="B68" s="279" t="s">
        <v>245</v>
      </c>
      <c r="C68" s="279"/>
      <c r="D68" s="279"/>
      <c r="E68" s="279"/>
      <c r="F68" s="279"/>
      <c r="G68" s="279"/>
      <c r="H68" s="279"/>
      <c r="I68" s="279"/>
      <c r="J68" s="279"/>
      <c r="K68" s="280"/>
    </row>
    <row r="69" spans="1:11" ht="17.25" customHeight="1" x14ac:dyDescent="0.25">
      <c r="A69" s="149"/>
      <c r="B69" s="269" t="s">
        <v>246</v>
      </c>
      <c r="C69" s="269"/>
      <c r="D69" s="269"/>
      <c r="E69" s="269"/>
      <c r="F69" s="269"/>
      <c r="G69" s="269"/>
      <c r="H69" s="269"/>
      <c r="I69" s="269"/>
      <c r="J69" s="269"/>
      <c r="K69" s="270"/>
    </row>
    <row r="70" spans="1:11" x14ac:dyDescent="0.25">
      <c r="A70" s="124">
        <v>0.375</v>
      </c>
      <c r="B70" s="134"/>
      <c r="C70" s="125">
        <v>142.91282903093452</v>
      </c>
      <c r="D70" s="125">
        <v>142.91282903093452</v>
      </c>
      <c r="E70" s="125">
        <v>142.91282903093452</v>
      </c>
      <c r="F70" s="125">
        <v>142.91282903093452</v>
      </c>
      <c r="G70" s="125">
        <v>142.91282903093452</v>
      </c>
      <c r="H70" s="125">
        <v>142.91282903093452</v>
      </c>
      <c r="I70" s="125">
        <v>142.91282903093452</v>
      </c>
      <c r="J70" s="125">
        <v>142.91282903093452</v>
      </c>
      <c r="K70" s="150">
        <v>134.13402135604036</v>
      </c>
    </row>
    <row r="71" spans="1:11" x14ac:dyDescent="0.25">
      <c r="A71" s="124">
        <v>0.41666666666666669</v>
      </c>
      <c r="B71" s="134"/>
      <c r="C71" s="125">
        <v>169.79584698760712</v>
      </c>
      <c r="D71" s="125">
        <v>169.79584698760712</v>
      </c>
      <c r="E71" s="125">
        <v>169.79584698760712</v>
      </c>
      <c r="F71" s="125">
        <v>169.79584698760712</v>
      </c>
      <c r="G71" s="125">
        <v>169.79584698760712</v>
      </c>
      <c r="H71" s="125">
        <v>169.79584698760712</v>
      </c>
      <c r="I71" s="125">
        <v>169.79584698760712</v>
      </c>
      <c r="J71" s="125">
        <v>169.79584698760712</v>
      </c>
      <c r="K71" s="150">
        <v>166.40865811748722</v>
      </c>
    </row>
    <row r="72" spans="1:11" x14ac:dyDescent="0.25">
      <c r="A72" s="124">
        <v>0.45833333333333331</v>
      </c>
      <c r="B72" s="134"/>
      <c r="C72" s="125">
        <v>177.28881450798971</v>
      </c>
      <c r="D72" s="125">
        <v>177.28881450798971</v>
      </c>
      <c r="E72" s="125">
        <v>177.28881450798971</v>
      </c>
      <c r="F72" s="125">
        <v>177.28881450798971</v>
      </c>
      <c r="G72" s="125">
        <v>177.28881450798971</v>
      </c>
      <c r="H72" s="125">
        <v>177.28881450798971</v>
      </c>
      <c r="I72" s="125">
        <v>177.28881450798971</v>
      </c>
      <c r="J72" s="125">
        <v>177.28881450798971</v>
      </c>
      <c r="K72" s="150">
        <v>175.48283242146837</v>
      </c>
    </row>
    <row r="73" spans="1:11" x14ac:dyDescent="0.25">
      <c r="A73" s="124">
        <v>0.5</v>
      </c>
      <c r="B73" s="134"/>
      <c r="C73" s="125">
        <v>183.85077397743646</v>
      </c>
      <c r="D73" s="125">
        <v>183.85077397743646</v>
      </c>
      <c r="E73" s="125">
        <v>183.85077397743646</v>
      </c>
      <c r="F73" s="125">
        <v>183.85077397743646</v>
      </c>
      <c r="G73" s="125">
        <v>183.85077397743646</v>
      </c>
      <c r="H73" s="125">
        <v>183.85077397743646</v>
      </c>
      <c r="I73" s="125">
        <v>183.85077397743646</v>
      </c>
      <c r="J73" s="125">
        <v>183.85077397743646</v>
      </c>
      <c r="K73" s="150">
        <v>182.82371240822269</v>
      </c>
    </row>
    <row r="74" spans="1:11" x14ac:dyDescent="0.25">
      <c r="A74" s="124">
        <v>0.54166666666666696</v>
      </c>
      <c r="B74" s="134"/>
      <c r="C74" s="125">
        <v>181.63282017320859</v>
      </c>
      <c r="D74" s="125">
        <v>181.63282017320859</v>
      </c>
      <c r="E74" s="125">
        <v>181.63282017320859</v>
      </c>
      <c r="F74" s="125">
        <v>181.63282017320859</v>
      </c>
      <c r="G74" s="125">
        <v>181.63282017320859</v>
      </c>
      <c r="H74" s="125">
        <v>181.63282017320859</v>
      </c>
      <c r="I74" s="125">
        <v>181.63282017320859</v>
      </c>
      <c r="J74" s="125">
        <v>181.63282017320859</v>
      </c>
      <c r="K74" s="150">
        <v>180.20729076461316</v>
      </c>
    </row>
    <row r="75" spans="1:11" x14ac:dyDescent="0.25">
      <c r="A75" s="124">
        <v>0.58333333333333337</v>
      </c>
      <c r="B75" s="134"/>
      <c r="C75" s="125">
        <v>169.37974926036324</v>
      </c>
      <c r="D75" s="125">
        <v>169.37974926036324</v>
      </c>
      <c r="E75" s="125">
        <v>169.37974926036324</v>
      </c>
      <c r="F75" s="125">
        <v>169.37974926036324</v>
      </c>
      <c r="G75" s="125">
        <v>169.37974926036324</v>
      </c>
      <c r="H75" s="125">
        <v>169.37974926036324</v>
      </c>
      <c r="I75" s="125">
        <v>169.37974926036324</v>
      </c>
      <c r="J75" s="125">
        <v>169.37974926036324</v>
      </c>
      <c r="K75" s="150">
        <v>164.6949842678294</v>
      </c>
    </row>
    <row r="76" spans="1:11" x14ac:dyDescent="0.25">
      <c r="A76" s="124">
        <v>0.625</v>
      </c>
      <c r="B76" s="134"/>
      <c r="C76" s="125">
        <v>168.4553623934616</v>
      </c>
      <c r="D76" s="125">
        <v>168.4553623934616</v>
      </c>
      <c r="E76" s="125">
        <v>168.4553623934616</v>
      </c>
      <c r="F76" s="125">
        <v>168.4553623934616</v>
      </c>
      <c r="G76" s="125">
        <v>168.4553623934616</v>
      </c>
      <c r="H76" s="125">
        <v>168.4553623934616</v>
      </c>
      <c r="I76" s="125">
        <v>168.4553623934616</v>
      </c>
      <c r="J76" s="125">
        <v>168.4553623934616</v>
      </c>
      <c r="K76" s="150">
        <v>163.957965015996</v>
      </c>
    </row>
    <row r="77" spans="1:11" x14ac:dyDescent="0.25">
      <c r="A77" s="124">
        <v>0.66666666666666663</v>
      </c>
      <c r="B77" s="134"/>
      <c r="C77" s="125">
        <v>128.02543555328339</v>
      </c>
      <c r="D77" s="125">
        <v>152.55213336364858</v>
      </c>
      <c r="E77" s="125">
        <v>228.11084281376046</v>
      </c>
      <c r="F77" s="125">
        <v>128.02543555328339</v>
      </c>
      <c r="G77" s="125">
        <v>128.02543555328339</v>
      </c>
      <c r="H77" s="125">
        <v>128.02543555328339</v>
      </c>
      <c r="I77" s="125">
        <v>128.02543555328339</v>
      </c>
      <c r="J77" s="125">
        <v>128.02543555328339</v>
      </c>
      <c r="K77" s="150">
        <v>120.31272094950678</v>
      </c>
    </row>
    <row r="78" spans="1:11" x14ac:dyDescent="0.25">
      <c r="A78" s="124">
        <v>0.70833333333333337</v>
      </c>
      <c r="B78" s="134"/>
      <c r="C78" s="125">
        <v>100.97426139906827</v>
      </c>
      <c r="D78" s="125">
        <v>167.39859015941255</v>
      </c>
      <c r="E78" s="125">
        <v>312.14720601746814</v>
      </c>
      <c r="F78" s="125">
        <v>176.67689896978979</v>
      </c>
      <c r="G78" s="125">
        <v>100.97426139906827</v>
      </c>
      <c r="H78" s="125">
        <v>100.97426139906827</v>
      </c>
      <c r="I78" s="125">
        <v>100.97426139906827</v>
      </c>
      <c r="J78" s="125">
        <v>100.97426139906827</v>
      </c>
      <c r="K78" s="150">
        <v>89.297636109125733</v>
      </c>
    </row>
    <row r="79" spans="1:11" ht="15.75" thickBot="1" x14ac:dyDescent="0.3">
      <c r="A79" s="127">
        <v>0.75</v>
      </c>
      <c r="B79" s="136"/>
      <c r="C79" s="128">
        <v>72.478809047335943</v>
      </c>
      <c r="D79" s="128">
        <v>160.42140077214964</v>
      </c>
      <c r="E79" s="128">
        <v>385.90377830848195</v>
      </c>
      <c r="F79" s="128">
        <v>321.36627297257292</v>
      </c>
      <c r="G79" s="128">
        <v>72.478809047335943</v>
      </c>
      <c r="H79" s="128">
        <v>72.478809047335943</v>
      </c>
      <c r="I79" s="128">
        <v>72.478809047335943</v>
      </c>
      <c r="J79" s="128">
        <v>72.478809047335943</v>
      </c>
      <c r="K79" s="151">
        <v>61.643779460916733</v>
      </c>
    </row>
    <row r="84" spans="1:11" ht="117" customHeight="1" x14ac:dyDescent="0.25">
      <c r="A84" s="271" t="s">
        <v>248</v>
      </c>
      <c r="B84" s="271"/>
      <c r="C84" s="271"/>
      <c r="D84" s="271"/>
      <c r="E84" s="271"/>
      <c r="F84" s="271"/>
      <c r="G84" s="271"/>
      <c r="H84" s="271"/>
      <c r="I84" s="271"/>
      <c r="J84" s="271"/>
      <c r="K84" s="271"/>
    </row>
  </sheetData>
  <sheetProtection algorithmName="SHA-512" hashValue="oKYaVXSr0lc29BjghtjsUl39piiYR6/ZGfn17eZJmqG+PEVK6HOXLY+iJBcEXpuwewqlzIAHk6duF98D5NWZ7A==" saltValue="nkYrPJ+7SbnsiRhUsMzWFw==" spinCount="100000" sheet="1" objects="1" scenarios="1"/>
  <mergeCells count="27">
    <mergeCell ref="C16:J16"/>
    <mergeCell ref="C1:J1"/>
    <mergeCell ref="B2:B3"/>
    <mergeCell ref="K2:K3"/>
    <mergeCell ref="B4:K4"/>
    <mergeCell ref="B5:K5"/>
    <mergeCell ref="B50:B51"/>
    <mergeCell ref="K50:K51"/>
    <mergeCell ref="C17:J17"/>
    <mergeCell ref="B18:B19"/>
    <mergeCell ref="K18:K19"/>
    <mergeCell ref="B20:K20"/>
    <mergeCell ref="B21:K21"/>
    <mergeCell ref="C33:J33"/>
    <mergeCell ref="B34:B35"/>
    <mergeCell ref="K34:K35"/>
    <mergeCell ref="B36:K36"/>
    <mergeCell ref="B37:K37"/>
    <mergeCell ref="C49:J49"/>
    <mergeCell ref="B69:K69"/>
    <mergeCell ref="A84:K84"/>
    <mergeCell ref="B52:K52"/>
    <mergeCell ref="B53:K53"/>
    <mergeCell ref="C65:J65"/>
    <mergeCell ref="B66:B67"/>
    <mergeCell ref="K66:K67"/>
    <mergeCell ref="B68:K68"/>
  </mergeCells>
  <conditionalFormatting sqref="B6:J15">
    <cfRule type="colorScale" priority="2">
      <colorScale>
        <cfvo type="min"/>
        <cfvo type="percentile" val="50"/>
        <cfvo type="max"/>
        <color rgb="FF5A8AC6"/>
        <color rgb="FFFCFCFF"/>
        <color rgb="FFF8696B"/>
      </colorScale>
    </cfRule>
  </conditionalFormatting>
  <conditionalFormatting sqref="C22:J31">
    <cfRule type="colorScale" priority="3">
      <colorScale>
        <cfvo type="min"/>
        <cfvo type="percentile" val="50"/>
        <cfvo type="max"/>
        <color rgb="FF5A8AC6"/>
        <color rgb="FFFCFCFF"/>
        <color rgb="FFF8696B"/>
      </colorScale>
    </cfRule>
  </conditionalFormatting>
  <conditionalFormatting sqref="C70:K79">
    <cfRule type="colorScale" priority="1">
      <colorScale>
        <cfvo type="min"/>
        <cfvo type="percentile" val="50"/>
        <cfvo type="max"/>
        <color rgb="FF5A8AC6"/>
        <color rgb="FFFCFCFF"/>
        <color rgb="FFF8696B"/>
      </colorScale>
    </cfRule>
  </conditionalFormatting>
  <conditionalFormatting sqref="C38:J47">
    <cfRule type="colorScale" priority="816">
      <colorScale>
        <cfvo type="min"/>
        <cfvo type="percentile" val="50"/>
        <cfvo type="max"/>
        <color rgb="FF5A8AC6"/>
        <color rgb="FFFCFCFF"/>
        <color rgb="FFF8696B"/>
      </colorScale>
    </cfRule>
  </conditionalFormatting>
  <conditionalFormatting sqref="C54:J63">
    <cfRule type="colorScale" priority="817">
      <colorScale>
        <cfvo type="min"/>
        <cfvo type="percentile" val="50"/>
        <cfvo type="max"/>
        <color rgb="FF5A8AC6"/>
        <color rgb="FFFCFCFF"/>
        <color rgb="FFF8696B"/>
      </colorScale>
    </cfRule>
  </conditionalFormatting>
  <pageMargins left="0.7" right="0.7" top="0.75" bottom="0.75" header="0.3" footer="0.3"/>
  <headerFooter>
    <oddFooter>&amp;L_x000D_&amp;1#&amp;"Calibri"&amp;10&amp;K000000 Intern gebruik</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43B9321-5C23-4D83-868B-C139438AC01C}">
  <ds:schemaRefs>
    <ds:schemaRef ds:uri="http://schemas.microsoft.com/DataMashup"/>
  </ds:schemaRefs>
</ds:datastoreItem>
</file>

<file path=docMetadata/LabelInfo.xml><?xml version="1.0" encoding="utf-8"?>
<clbl:labelList xmlns:clbl="http://schemas.microsoft.com/office/2020/mipLabelMetadata">
  <clbl:label id="{681dcdd7-3e43-49fb-ac1e-2321f7e63421}" enabled="1" method="Standard" siteId="{1321633e-f6b9-44e2-a44f-59b9d264ecb7}"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15</vt:i4>
      </vt:variant>
      <vt:variant>
        <vt:lpstr>Benoemde bereiken</vt:lpstr>
      </vt:variant>
      <vt:variant>
        <vt:i4>12</vt:i4>
      </vt:variant>
    </vt:vector>
  </HeadingPairs>
  <TitlesOfParts>
    <vt:vector size="27" baseType="lpstr">
      <vt:lpstr>Software wijzigingen</vt:lpstr>
      <vt:lpstr>Toelichting</vt:lpstr>
      <vt:lpstr>Projectgegevens en Resultaten</vt:lpstr>
      <vt:lpstr>Ruimte 1</vt:lpstr>
      <vt:lpstr>Ruimte 2</vt:lpstr>
      <vt:lpstr>Ruimte 3</vt:lpstr>
      <vt:lpstr>Ruimte 4</vt:lpstr>
      <vt:lpstr>Ruimte 5</vt:lpstr>
      <vt:lpstr>Ruimte 6</vt:lpstr>
      <vt:lpstr>Ruimte 7</vt:lpstr>
      <vt:lpstr>Ruimte 8</vt:lpstr>
      <vt:lpstr>Ruimte 9</vt:lpstr>
      <vt:lpstr>Ruimte 10</vt:lpstr>
      <vt:lpstr>Tabellen</vt:lpstr>
      <vt:lpstr>Tabel AA</vt:lpstr>
      <vt:lpstr>'Tabel AA'!_Hlk510007024</vt:lpstr>
      <vt:lpstr>'Projectgegevens en Resultaten'!Afdrukbereik</vt:lpstr>
      <vt:lpstr>'Ruimte 1'!Afdrukbereik</vt:lpstr>
      <vt:lpstr>'Ruimte 10'!Afdrukbereik</vt:lpstr>
      <vt:lpstr>'Ruimte 2'!Afdrukbereik</vt:lpstr>
      <vt:lpstr>'Ruimte 3'!Afdrukbereik</vt:lpstr>
      <vt:lpstr>'Ruimte 4'!Afdrukbereik</vt:lpstr>
      <vt:lpstr>'Ruimte 5'!Afdrukbereik</vt:lpstr>
      <vt:lpstr>'Ruimte 6'!Afdrukbereik</vt:lpstr>
      <vt:lpstr>'Ruimte 7'!Afdrukbereik</vt:lpstr>
      <vt:lpstr>'Ruimte 8'!Afdrukbereik</vt:lpstr>
      <vt:lpstr>'Ruimte 9'!Afdrukbereik</vt:lpstr>
    </vt:vector>
  </TitlesOfParts>
  <Company>Adviesburo Nieman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Wim Struijs</dc:creator>
  <cp:lastModifiedBy>Beesen, ir. P.H.R. van der (Philippe)</cp:lastModifiedBy>
  <cp:lastPrinted>2025-04-09T07:15:10Z</cp:lastPrinted>
  <dcterms:created xsi:type="dcterms:W3CDTF">2017-02-20T09:11:05Z</dcterms:created>
  <dcterms:modified xsi:type="dcterms:W3CDTF">2025-05-13T07:49:42Z</dcterms:modified>
</cp:coreProperties>
</file>